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C:\Users\jggomez\Desktop\Temporal\Master\"/>
    </mc:Choice>
  </mc:AlternateContent>
  <bookViews>
    <workbookView xWindow="5985" yWindow="-15" windowWidth="5970" windowHeight="6210" tabRatio="602" activeTab="1"/>
  </bookViews>
  <sheets>
    <sheet name="Canary II Enunciado" sheetId="30" r:id="rId1"/>
    <sheet name="Canary II Solucion" sheetId="31" r:id="rId2"/>
  </sheets>
  <externalReferences>
    <externalReference r:id="rId3"/>
  </externalReferences>
  <calcPr calcId="152511"/>
  <fileRecoveryPr repairLoad="1"/>
</workbook>
</file>

<file path=xl/calcChain.xml><?xml version="1.0" encoding="utf-8"?>
<calcChain xmlns="http://schemas.openxmlformats.org/spreadsheetml/2006/main">
  <c r="U29" i="31" l="1"/>
  <c r="U28" i="31"/>
  <c r="U27" i="31"/>
  <c r="U24" i="31"/>
  <c r="U23" i="31"/>
  <c r="AA21" i="31"/>
  <c r="Z21" i="31"/>
  <c r="X21" i="31" s="1"/>
  <c r="Y21" i="31"/>
  <c r="U21" i="31"/>
  <c r="U20" i="31"/>
  <c r="U16" i="31"/>
  <c r="O26" i="31" l="1"/>
  <c r="AB13" i="31" l="1"/>
  <c r="O30" i="31"/>
  <c r="S20" i="31"/>
  <c r="O20" i="31"/>
  <c r="Q18" i="31"/>
  <c r="O18" i="31"/>
  <c r="Q16" i="31"/>
  <c r="O16" i="31"/>
  <c r="Q14" i="31"/>
  <c r="O14" i="31"/>
  <c r="H15" i="31"/>
  <c r="X17" i="31" s="1"/>
  <c r="C53" i="31"/>
  <c r="C51" i="31"/>
  <c r="B47" i="31"/>
  <c r="G9" i="31"/>
  <c r="H9" i="31" s="1"/>
  <c r="C34" i="31"/>
  <c r="D34" i="31" s="1"/>
  <c r="C32" i="31"/>
  <c r="D32" i="31" s="1"/>
  <c r="B28" i="31"/>
  <c r="D59" i="31" l="1"/>
  <c r="D40" i="31"/>
  <c r="D38" i="31"/>
  <c r="D51" i="31"/>
  <c r="BI66" i="30"/>
  <c r="D53" i="31"/>
  <c r="D57" i="31" s="1"/>
  <c r="D42" i="31"/>
  <c r="BG66" i="30"/>
  <c r="BI44" i="30"/>
  <c r="BG44" i="30"/>
  <c r="C30" i="31" s="1"/>
  <c r="BK36" i="30" l="1"/>
  <c r="BK40" i="30"/>
  <c r="BK32" i="30"/>
  <c r="BK33" i="30"/>
  <c r="BK37" i="30"/>
  <c r="BK41" i="30"/>
  <c r="BK34" i="30"/>
  <c r="BK38" i="30"/>
  <c r="BK42" i="30"/>
  <c r="BK35" i="30"/>
  <c r="BK39" i="30"/>
  <c r="BK43" i="30"/>
  <c r="C49" i="31"/>
  <c r="Q11" i="31"/>
  <c r="Z11" i="31" s="1"/>
  <c r="D43" i="31"/>
  <c r="G7" i="31" s="1"/>
  <c r="X20" i="31" s="1"/>
  <c r="Y20" i="31" s="1"/>
  <c r="D49" i="31"/>
  <c r="D30" i="31"/>
  <c r="S30" i="31"/>
  <c r="S22" i="31" s="1"/>
  <c r="M30" i="31"/>
  <c r="M28" i="31"/>
  <c r="M26" i="31"/>
  <c r="M24" i="31"/>
  <c r="S13" i="31"/>
  <c r="R13" i="31"/>
  <c r="P13" i="31"/>
  <c r="O13" i="31"/>
  <c r="AE36" i="30"/>
  <c r="AE42" i="30" s="1"/>
  <c r="AZ19" i="30"/>
  <c r="AY19" i="30"/>
  <c r="AX19" i="30"/>
  <c r="AW19" i="30"/>
  <c r="AV19" i="30"/>
  <c r="AU19" i="30"/>
  <c r="AT19" i="30"/>
  <c r="AO17" i="30"/>
  <c r="AZ16" i="30"/>
  <c r="AY16" i="30"/>
  <c r="AX16" i="30"/>
  <c r="AW16" i="30"/>
  <c r="AV16" i="30"/>
  <c r="AU16" i="30"/>
  <c r="AT16" i="30"/>
  <c r="AS16" i="30"/>
  <c r="AO14" i="30"/>
  <c r="AA14" i="30"/>
  <c r="AZ13" i="30"/>
  <c r="AY13" i="30"/>
  <c r="AX13" i="30"/>
  <c r="AX20" i="30" s="1"/>
  <c r="AW13" i="30"/>
  <c r="AW20" i="30" s="1"/>
  <c r="AV13" i="30"/>
  <c r="AU13" i="30"/>
  <c r="AT13" i="30"/>
  <c r="AT20" i="30" s="1"/>
  <c r="AS13" i="30"/>
  <c r="AR13" i="30"/>
  <c r="AQ16" i="30" s="1"/>
  <c r="AR16" i="30" s="1"/>
  <c r="AR20" i="30" s="1"/>
  <c r="AA13" i="30"/>
  <c r="AA12" i="30"/>
  <c r="C12" i="30"/>
  <c r="AA11" i="30"/>
  <c r="AA10" i="30"/>
  <c r="C10" i="30"/>
  <c r="AA8" i="30"/>
  <c r="C8" i="30"/>
  <c r="AA7" i="30"/>
  <c r="AA6" i="30"/>
  <c r="AF3" i="30"/>
  <c r="D25" i="30" l="1"/>
  <c r="P11" i="31"/>
  <c r="Y11" i="31" s="1"/>
  <c r="AV20" i="30"/>
  <c r="AZ20" i="30"/>
  <c r="BI22" i="30" s="1"/>
  <c r="F20" i="31" s="1"/>
  <c r="G20" i="31" s="1"/>
  <c r="X29" i="31" s="1"/>
  <c r="BK44" i="30"/>
  <c r="AU20" i="30"/>
  <c r="AY20" i="30"/>
  <c r="Q13" i="31"/>
  <c r="S32" i="31"/>
  <c r="AB14" i="31" s="1"/>
  <c r="AB15" i="31" s="1"/>
  <c r="D61" i="31"/>
  <c r="D62" i="31" s="1"/>
  <c r="AE40" i="30"/>
  <c r="BI7" i="30"/>
  <c r="F9" i="31" s="1"/>
  <c r="BI20" i="30"/>
  <c r="F18" i="31" s="1"/>
  <c r="G18" i="31" s="1"/>
  <c r="X28" i="31" s="1"/>
  <c r="BI17" i="30"/>
  <c r="F15" i="31" s="1"/>
  <c r="G15" i="31" s="1"/>
  <c r="X27" i="31" s="1"/>
  <c r="BI15" i="30"/>
  <c r="F13" i="31" s="1"/>
  <c r="G13" i="31" s="1"/>
  <c r="X24" i="31" s="1"/>
  <c r="AB24" i="31" s="1"/>
  <c r="BI5" i="30"/>
  <c r="F7" i="31" s="1"/>
  <c r="D44" i="31" s="1"/>
  <c r="BI11" i="30"/>
  <c r="AQ19" i="30"/>
  <c r="AS19" i="30" s="1"/>
  <c r="AS20" i="30" s="1"/>
  <c r="D26" i="30"/>
  <c r="AQ13" i="30"/>
  <c r="D29" i="30"/>
  <c r="C13" i="30"/>
  <c r="P12" i="31" s="1"/>
  <c r="Y12" i="31" s="1"/>
  <c r="D27" i="30"/>
  <c r="X30" i="31" l="1"/>
  <c r="D63" i="31"/>
  <c r="H11" i="31"/>
  <c r="O28" i="31" s="1"/>
  <c r="F11" i="31"/>
  <c r="H10" i="31"/>
  <c r="O27" i="31" s="1"/>
  <c r="G10" i="31"/>
  <c r="X22" i="31" s="1"/>
  <c r="H7" i="31"/>
  <c r="O24" i="31" s="1"/>
  <c r="P24" i="31" s="1"/>
  <c r="D45" i="31"/>
  <c r="AQ20" i="30"/>
  <c r="D28" i="30"/>
  <c r="C23" i="30" s="1"/>
  <c r="AA13" i="31" s="1"/>
  <c r="C18" i="30"/>
  <c r="Y13" i="31" s="1"/>
  <c r="C22" i="30"/>
  <c r="C20" i="30"/>
  <c r="D30" i="30"/>
  <c r="C21" i="30"/>
  <c r="AA15" i="31" l="1"/>
  <c r="P27" i="31"/>
  <c r="P22" i="31" s="1"/>
  <c r="R27" i="31"/>
  <c r="R22" i="31" s="1"/>
  <c r="R32" i="31" s="1"/>
  <c r="AA14" i="31" s="1"/>
  <c r="Q27" i="31"/>
  <c r="AB22" i="31"/>
  <c r="AA22" i="31"/>
  <c r="Y22" i="31"/>
  <c r="Z22" i="31"/>
  <c r="Q28" i="31"/>
  <c r="Q22" i="31" s="1"/>
  <c r="O22" i="31"/>
  <c r="O32" i="31" s="1"/>
  <c r="D64" i="31"/>
  <c r="G11" i="31"/>
  <c r="X23" i="31" s="1"/>
  <c r="Z23" i="31" s="1"/>
  <c r="C19" i="30"/>
  <c r="P32" i="31" l="1"/>
  <c r="Y14" i="31"/>
  <c r="Y15" i="31" s="1"/>
  <c r="C31" i="30"/>
  <c r="Z13" i="31"/>
  <c r="Q32" i="31"/>
  <c r="Z14" i="31" s="1"/>
  <c r="Z16" i="31" l="1"/>
  <c r="Z17" i="31" s="1"/>
  <c r="X13" i="31"/>
  <c r="X14" i="31"/>
  <c r="X15" i="31" s="1"/>
  <c r="X18" i="31" s="1"/>
  <c r="Z15" i="31"/>
  <c r="Z18" i="31" s="1"/>
  <c r="Z25" i="31" s="1"/>
  <c r="AB16" i="31" l="1"/>
  <c r="AB17" i="31" s="1"/>
  <c r="AB18" i="31" s="1"/>
  <c r="AB25" i="31" s="1"/>
  <c r="AA16" i="31"/>
  <c r="AA17" i="31" s="1"/>
  <c r="AA18" i="31" s="1"/>
  <c r="AA25" i="31" s="1"/>
  <c r="Y16" i="31"/>
  <c r="X16" i="31" l="1"/>
  <c r="Y17" i="31"/>
  <c r="Y18" i="31" s="1"/>
  <c r="Y25" i="31" s="1"/>
  <c r="X25" i="31" s="1"/>
  <c r="X31" i="31" s="1"/>
</calcChain>
</file>

<file path=xl/comments1.xml><?xml version="1.0" encoding="utf-8"?>
<comments xmlns="http://schemas.openxmlformats.org/spreadsheetml/2006/main">
  <authors>
    <author>jggomez</author>
  </authors>
  <commentList>
    <comment ref="AC22" authorId="0" shapeId="0">
      <text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
Asesoria laboral, nóminas etc.</t>
        </r>
      </text>
    </comment>
  </commentList>
</comments>
</file>

<file path=xl/sharedStrings.xml><?xml version="1.0" encoding="utf-8"?>
<sst xmlns="http://schemas.openxmlformats.org/spreadsheetml/2006/main" count="356" uniqueCount="221">
  <si>
    <t>Costes Variables</t>
  </si>
  <si>
    <t>Total</t>
  </si>
  <si>
    <t>Enunciado</t>
  </si>
  <si>
    <t>Coste Total</t>
  </si>
  <si>
    <t>Habitaciones</t>
  </si>
  <si>
    <t xml:space="preserve"> - Costes Fijos Propios</t>
  </si>
  <si>
    <t xml:space="preserve"> = Margen Comercial Bruto</t>
  </si>
  <si>
    <t>http://www.quehoteles.com/hotel-de-puerto-santiago-Playa-La-Arena-4C15P171D759Z14749EF.htm</t>
  </si>
  <si>
    <t>Análisis y Estimación de Costes de Personal Unitario al Año</t>
  </si>
  <si>
    <r>
      <t xml:space="preserve">Reparto Primario y Secundario </t>
    </r>
    <r>
      <rPr>
        <b/>
        <sz val="10"/>
        <rFont val="Arial"/>
        <family val="2"/>
      </rPr>
      <t>(obtenido de nuestro sistema ERP)</t>
    </r>
  </si>
  <si>
    <t>Centros y Departamentos</t>
  </si>
  <si>
    <t>Localizacion  contable de costes y claves de reparto de costes indirectos</t>
  </si>
  <si>
    <r>
      <t>Nota 2.</t>
    </r>
    <r>
      <rPr>
        <b/>
        <sz val="8"/>
        <rFont val="Arial"/>
        <family val="2"/>
      </rPr>
      <t xml:space="preserve"> Coste de Personal Estimado</t>
    </r>
  </si>
  <si>
    <t>Centros</t>
  </si>
  <si>
    <t>Principales Actividades y Tareas</t>
  </si>
  <si>
    <t>Unidad de Obra o Acticvidad</t>
  </si>
  <si>
    <t>Auxiliares</t>
  </si>
  <si>
    <t>Principales Operativas</t>
  </si>
  <si>
    <t>Principales No Opetativas</t>
  </si>
  <si>
    <t>Componentes del Salarial Promedio Unitario/Año</t>
  </si>
  <si>
    <t>Principales Operativos</t>
  </si>
  <si>
    <t>HAB</t>
  </si>
  <si>
    <t xml:space="preserve">Limpiar habitaciones, controlar lavandería exterior, limpiar bar- restaurante y zonas comunes, gestionar almacén de habitaciones, etc.. </t>
  </si>
  <si>
    <t>Imputa sus costes al servicio de habitaciones directamente</t>
  </si>
  <si>
    <t>CON</t>
  </si>
  <si>
    <t>STE</t>
  </si>
  <si>
    <t>REC</t>
  </si>
  <si>
    <t>RES</t>
  </si>
  <si>
    <t>TIE</t>
  </si>
  <si>
    <t>COM</t>
  </si>
  <si>
    <t>DEJ</t>
  </si>
  <si>
    <t>ADM</t>
  </si>
  <si>
    <t>Total de Personal</t>
  </si>
  <si>
    <t>m2 ocupados</t>
  </si>
  <si>
    <t>1. Sueldos y Salarios</t>
  </si>
  <si>
    <r>
      <t xml:space="preserve">600/6100 </t>
    </r>
    <r>
      <rPr>
        <sz val="10"/>
        <color theme="1"/>
        <rFont val="Calibri"/>
        <family val="2"/>
        <scheme val="minor"/>
      </rPr>
      <t>Consumos  - Compras +/- Varia.Existen.</t>
    </r>
  </si>
  <si>
    <t>Capacidad (Habitaciones Doble):</t>
  </si>
  <si>
    <t>Recepción</t>
  </si>
  <si>
    <t>Realizar receptiva de clientes, atención a clientes externos e internos, filtrar incidencias, controlar caja recepción, compra-venta divisas, venta de entradas-excursiones, alquilar safe o caja fuerte, alquilar cunas, cobrar billares y otras máquinas recreativas, alquilar párquing, recaudar teléfono público y de habitaciones, etc</t>
  </si>
  <si>
    <t>Según estudio de los tiempos dedicados, sus costes se imputan a Servicio Habitaciones (85%), Servico de Restauración (10%) y el Resto Propios.</t>
  </si>
  <si>
    <t>Reparaciones</t>
  </si>
  <si>
    <t>2 Seg. Social Empresa</t>
  </si>
  <si>
    <t>Animación,  y otros</t>
  </si>
  <si>
    <t>3. Indemnizaciones (*)</t>
  </si>
  <si>
    <r>
      <rPr>
        <b/>
        <sz val="8"/>
        <rFont val="Calibri"/>
        <family val="2"/>
        <scheme val="minor"/>
      </rPr>
      <t>62</t>
    </r>
    <r>
      <rPr>
        <b/>
        <sz val="10"/>
        <rFont val="Calibri"/>
        <family val="2"/>
        <scheme val="minor"/>
      </rPr>
      <t xml:space="preserve"> Servicios Exteriores</t>
    </r>
  </si>
  <si>
    <t>Ocupación Media Dia:</t>
  </si>
  <si>
    <r>
      <t xml:space="preserve">4. Otros </t>
    </r>
    <r>
      <rPr>
        <i/>
        <sz val="8"/>
        <rFont val="Times New Roman"/>
        <family val="1"/>
      </rPr>
      <t>Asesoria Laboral (**)</t>
    </r>
  </si>
  <si>
    <t>63 Tributos</t>
  </si>
  <si>
    <t>Agua y Gas</t>
  </si>
  <si>
    <r>
      <t>5. Otros</t>
    </r>
    <r>
      <rPr>
        <i/>
        <sz val="8"/>
        <rFont val="Times New Roman"/>
        <family val="1"/>
      </rPr>
      <t xml:space="preserve"> Gastos Sociales (***)</t>
    </r>
  </si>
  <si>
    <t>64 Personal</t>
  </si>
  <si>
    <t>Actividad -Ocupación Anual:</t>
  </si>
  <si>
    <t>Restauración food &amp; beverage</t>
  </si>
  <si>
    <t>Preparar y vender alimentos y bebidas tanto en el restaurante como en el bar y terrazas,  preparar buffet y planificar menús, limpiar cocina, salas, bar y terrazas. Actividades de control y gestión administrativa como control de cajas, cierres mensuales con inventarios, gestionar compras, control de almacén. Gestión de personal, Coordinación de animación, etc.</t>
  </si>
  <si>
    <t>Imputa sus costes al servicio de restauración</t>
  </si>
  <si>
    <t>Kw Instalados</t>
  </si>
  <si>
    <t>Subtotal unitario Año</t>
  </si>
  <si>
    <t>65 Otros Gtos. de Gestión</t>
  </si>
  <si>
    <t>Habitaciones Facturadas</t>
  </si>
  <si>
    <t>Mantenimiento</t>
  </si>
  <si>
    <t>Total Dias Disponibles</t>
  </si>
  <si>
    <t>68/69. Amortización y deterioro</t>
  </si>
  <si>
    <t>Camas-Estancias Facturadas</t>
  </si>
  <si>
    <t>Comunicación</t>
  </si>
  <si>
    <t>T. Horas Disponibles</t>
  </si>
  <si>
    <t>Total Reparto Primario</t>
  </si>
  <si>
    <t>Personal Medio durante el año</t>
  </si>
  <si>
    <t>T. Horas Efectivas</t>
  </si>
  <si>
    <t>Imputa sus costes al resto de centros en función de los m2 ocupados excepto los propios</t>
  </si>
  <si>
    <t>Ingresos de los Servicios Directos</t>
  </si>
  <si>
    <t>Tiendas - Supermercado</t>
  </si>
  <si>
    <t>Cuadrar caja,  atención y venta al cliente, controlar precios y márgenes, reponer y merchandising, inventarios, preparar pedidos, repasar albaranes, gestionar proveedores y pagos, etc</t>
  </si>
  <si>
    <t>Imputa sus costes a su propio servicio</t>
  </si>
  <si>
    <t>Coste/Hora Disponible</t>
  </si>
  <si>
    <t>Servicio Hospedaje</t>
  </si>
  <si>
    <t>Coste/Hora Efectivo</t>
  </si>
  <si>
    <t>Servicio Restaurante food &amp; beverage</t>
  </si>
  <si>
    <t>Principales No Operativos</t>
  </si>
  <si>
    <t>Comercial Reservas y Facturación</t>
  </si>
  <si>
    <t>En cuanto al centro de reservas y facturación, que todo establecimiento hotelero debe tener, se identificaron diversas actividades y tareas como son: Reservas agencias, reservas directas, reservas de garantías, control general de reservas, etc</t>
  </si>
  <si>
    <t>Imputa sus costes entre los servicios según volumen de facturación</t>
  </si>
  <si>
    <t>Personal Medio Año</t>
  </si>
  <si>
    <t>Imputa sus costes al resto en función de los m2  excepto los propios y los de CON</t>
  </si>
  <si>
    <t>Restaurante -s</t>
  </si>
  <si>
    <t>Resumen Contable:</t>
  </si>
  <si>
    <t>Cafetería/s y Bar/es</t>
  </si>
  <si>
    <t>640 Sueldos y Salarios</t>
  </si>
  <si>
    <t>Discoteca / Club nocturno</t>
  </si>
  <si>
    <t>Dirección Ejecutiva</t>
  </si>
  <si>
    <t>Aprobar la gestión de gerencia y dirección ejecutiva. Aprobar cierres mensuales y cuentas anuales, control global centros beneficios. Relaciones institucionales corporativas</t>
  </si>
  <si>
    <t>No imputa costes a los productos o servicios</t>
  </si>
  <si>
    <t>Exist. Inicial</t>
  </si>
  <si>
    <t>Entradas</t>
  </si>
  <si>
    <t>Salidas</t>
  </si>
  <si>
    <t>Exist. Final</t>
  </si>
  <si>
    <t>Dif.Inv. Normal</t>
  </si>
  <si>
    <t>641 Indemnizaciones</t>
  </si>
  <si>
    <t>Total Reparto Secundario</t>
  </si>
  <si>
    <t>Servicios Comunes-Otros Rececpcion</t>
  </si>
  <si>
    <t>642 Seguridad Social Empresa</t>
  </si>
  <si>
    <t>Acceso a Internet</t>
  </si>
  <si>
    <t>Gratuito</t>
  </si>
  <si>
    <t>Administración Contabilidad y Finanzas</t>
  </si>
  <si>
    <t>Cierre anual, mensual y diario (generar la producción, contabilizar facturas, abonos, cobros y arqueos, ingresos bancarios, etc..), control de gestión, cash management (planificar tesorería), gestión contable, control interno, etc..</t>
  </si>
  <si>
    <t>Mat. Oficina</t>
  </si>
  <si>
    <t>Caja de seguridad</t>
  </si>
  <si>
    <t>Mat.Primas Sólidos (*)</t>
  </si>
  <si>
    <t>Cambio de moneda</t>
  </si>
  <si>
    <t>Coste 64 Personal</t>
  </si>
  <si>
    <t>Gimnasio y canchas de tenis</t>
  </si>
  <si>
    <t>Conserjería</t>
  </si>
  <si>
    <t>El personal de conserjería está encargado de realizar las actividades de sacar basuras, limpiar piscina y limpiar terrazas y exteriores. Estas actividades no tienen demasiada importancia en sí mismas. Se identificaron para poder diferenciar el trabajo dedicado a estas faenas y los costes de las mismas.</t>
  </si>
  <si>
    <t>Repuestos</t>
  </si>
  <si>
    <t xml:space="preserve"> (*) Valores estimados según rotación media de personal estos últimos años y liquidacion de contratos.</t>
  </si>
  <si>
    <t>Sala de juegos</t>
  </si>
  <si>
    <t>Higiene y Limpieza</t>
  </si>
  <si>
    <t>(**) Coste de asesoria laboral por nómina de empleado al año.</t>
  </si>
  <si>
    <t>Lavandería</t>
  </si>
  <si>
    <t xml:space="preserve">(***) Corresponde a bonos de transporte, ayuda para uniformes y calzado, </t>
  </si>
  <si>
    <t>Servicios Tiendas</t>
  </si>
  <si>
    <t>Servicio Ténico Mantenimiento</t>
  </si>
  <si>
    <t xml:space="preserve">Encargado de los equipos técnicos del hotel así como de las pequeñas averías y reparaciones de mantenimiento general relacionada con pequeños trabajos de albañilería, carpintería, pintura, electricidad, etc </t>
  </si>
  <si>
    <t>Mat.Primas Liquidos (*)</t>
  </si>
  <si>
    <t>Calendario Laboral- Sector Hosteleria - Ejercicio 20XY</t>
  </si>
  <si>
    <t>Total Facturación:</t>
  </si>
  <si>
    <t>Bodega (*)</t>
  </si>
  <si>
    <t>Dias año</t>
  </si>
  <si>
    <t>Mat.Diverso (**)</t>
  </si>
  <si>
    <t>Descanso Semanal</t>
  </si>
  <si>
    <t>Lencería Similar</t>
  </si>
  <si>
    <t>Vacaciones Retribuidas</t>
  </si>
  <si>
    <t>Vajilla y similar</t>
  </si>
  <si>
    <t>Dias Festivos</t>
  </si>
  <si>
    <t>Utensilios</t>
  </si>
  <si>
    <t>Enfermedad</t>
  </si>
  <si>
    <t xml:space="preserve"> (*) Coste directo del servicio de Restauración food &amp; beverage</t>
  </si>
  <si>
    <t>Permisos</t>
  </si>
  <si>
    <t>(**) Costes Directo de Tiendas- Consumo de Existencias Comerciales</t>
  </si>
  <si>
    <t>Dias Disponibles:</t>
  </si>
  <si>
    <t>Resto de bienes inventariables son costes indirectos y por tanto afectan al reaparto 1º y 2º</t>
  </si>
  <si>
    <t>Jornada Laboral</t>
  </si>
  <si>
    <t>Horas Efectivas</t>
  </si>
  <si>
    <t>Hras Promedio al Año Contratadas por Trabajador:</t>
  </si>
  <si>
    <t>Hras Promedio al Año Efectivas por Trabajador:</t>
  </si>
  <si>
    <t>SOLUCION</t>
  </si>
  <si>
    <t>Evalauación de los costes de produccion de los servicios</t>
  </si>
  <si>
    <t>Análisis de Resultados y Rdtos</t>
  </si>
  <si>
    <t>Nota</t>
  </si>
  <si>
    <t>Producción Anual</t>
  </si>
  <si>
    <t>Ingresos Netos</t>
  </si>
  <si>
    <t>Ver I:P</t>
  </si>
  <si>
    <t xml:space="preserve"> = Margen Industrial</t>
  </si>
  <si>
    <t>Total Costes de Producción</t>
  </si>
  <si>
    <t>N 1: Nivel de Actividad del ejercicio</t>
  </si>
  <si>
    <t>N 2: Ingresos del Periodo</t>
  </si>
  <si>
    <t xml:space="preserve">N 3: Identificación de los centros  y unidad de obra </t>
  </si>
  <si>
    <t>N 4: Claves de reparto y Unidades de Obra</t>
  </si>
  <si>
    <t>Nota 5: Resumen de los movimientos de inventarios y valoración según nuestro ERP</t>
  </si>
  <si>
    <r>
      <t>Nota 6.</t>
    </r>
    <r>
      <rPr>
        <sz val="10"/>
        <color theme="0"/>
        <rFont val="Arial"/>
        <family val="2"/>
      </rPr>
      <t xml:space="preserve"> Coste de Personal Estimado - Según Recursos Humanos</t>
    </r>
  </si>
  <si>
    <r>
      <t>Nota 7.</t>
    </r>
    <r>
      <rPr>
        <sz val="10"/>
        <color theme="0"/>
        <rFont val="Arial"/>
        <family val="2"/>
      </rPr>
      <t xml:space="preserve"> Reparto primario y secundario (obtenido de nuestro ERP)</t>
    </r>
  </si>
  <si>
    <t>623 Servic. Profes. Indepen. (**)</t>
  </si>
  <si>
    <t>649 Otros Gastos Sociales (***)</t>
  </si>
  <si>
    <t>Operativas</t>
  </si>
  <si>
    <t>(Ver Reparto 1º y 2)</t>
  </si>
  <si>
    <t>Total Costes</t>
  </si>
  <si>
    <t xml:space="preserve">Costes Fijos </t>
  </si>
  <si>
    <t>(A determinar)</t>
  </si>
  <si>
    <t>(Coste Total-Coste Fijo)</t>
  </si>
  <si>
    <r>
      <t>Nota 8.</t>
    </r>
    <r>
      <rPr>
        <sz val="10"/>
        <color theme="0"/>
        <rFont val="Arial"/>
        <family val="2"/>
      </rPr>
      <t xml:space="preserve"> Tratamiento de los costes a nivel de centros operativos</t>
    </r>
  </si>
  <si>
    <t>Mes</t>
  </si>
  <si>
    <t>(8a)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</si>
  <si>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</si>
  <si>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</si>
  <si>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</si>
  <si>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</si>
  <si>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</si>
  <si>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</si>
  <si>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</si>
  <si>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</si>
  <si>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</si>
  <si>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</si>
  <si>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</si>
  <si>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</si>
  <si>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Pernoctaciones</t>
  </si>
  <si>
    <t>Costes Centro</t>
  </si>
  <si>
    <r>
      <t>Subnota 8a.</t>
    </r>
    <r>
      <rPr>
        <sz val="10"/>
        <color theme="0"/>
        <rFont val="Arial"/>
        <family val="2"/>
      </rPr>
      <t xml:space="preserve"> </t>
    </r>
    <r>
      <rPr>
        <sz val="8"/>
        <color theme="0"/>
        <rFont val="Arial"/>
        <family val="2"/>
      </rPr>
      <t>Costes Actividad Centro: Habitaciones</t>
    </r>
  </si>
  <si>
    <t>(8a) Ante la variedad y diversidad de costes de este departamento y su dificultad de identificarlos individualmente se propone para separar el componente fijo y variable de este centro utilizar el metodo de los valores extremos relacionados con el numero de pernoctaciones por mes y los respectivos costes del citado centro</t>
  </si>
  <si>
    <t>(8b)</t>
  </si>
  <si>
    <t>(8c)</t>
  </si>
  <si>
    <t>Costes del Centro</t>
  </si>
  <si>
    <t>(8c) Aparte de los consumos de alimentos y bebidas de este departamento y que son evidentemente costes directos variables, analizados el resto de costes indirectos según reparto primario y secundario de este departamento, se presenta la siguiente información con el objeto de separar el componente fijo y variable segun el metodo de valores extremos.</t>
  </si>
  <si>
    <r>
      <t>Subnota 8c.</t>
    </r>
    <r>
      <rPr>
        <sz val="10"/>
        <color theme="0"/>
        <rFont val="Arial"/>
        <family val="2"/>
      </rPr>
      <t xml:space="preserve"> Costes Actividad Centro: Restauración</t>
    </r>
  </si>
  <si>
    <r>
      <rPr>
        <sz val="8"/>
        <rFont val="Arial"/>
        <family val="2"/>
      </rPr>
      <t>Comensales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(Desay-Almuer-Cena)</t>
    </r>
  </si>
  <si>
    <t>(8d)</t>
  </si>
  <si>
    <t>(8d) Auditado los costes mensuales de tienda se ha considerado que solo son costes variables los derivados del consumo de articulos de la misma, costes directos variables</t>
  </si>
  <si>
    <t>(8e)</t>
  </si>
  <si>
    <t>(8f)</t>
  </si>
  <si>
    <t>(8f) Auditados los costes indirectos correspondientes al reparto primario y secundario, en este centro se considera que la variablidad mensual que presenta es ajena a la actividad y derivada de la variación del precio de los factores (subida de precios), por tanto todos sus costes se consideran fijos.</t>
  </si>
  <si>
    <t>No Operativas</t>
  </si>
  <si>
    <t>Valores Mínimos</t>
  </si>
  <si>
    <t>Valores Máximos</t>
  </si>
  <si>
    <t>Método Valores Extremos</t>
  </si>
  <si>
    <t xml:space="preserve">Coste Variable Unitario = </t>
  </si>
  <si>
    <r>
      <rPr>
        <b/>
        <sz val="10"/>
        <rFont val="Arial"/>
        <family val="2"/>
      </rPr>
      <t xml:space="preserve">Coste Variable Unitario </t>
    </r>
    <r>
      <rPr>
        <b/>
        <sz val="8"/>
        <rFont val="Arial"/>
        <family val="2"/>
      </rPr>
      <t>=</t>
    </r>
    <r>
      <rPr>
        <sz val="8"/>
        <rFont val="Arial"/>
        <family val="2"/>
      </rPr>
      <t xml:space="preserve"> (Coste Mayor - Coste Menor) / (Pernoctaciones Mayor - Pernoctaciones Menor)</t>
    </r>
  </si>
  <si>
    <t xml:space="preserve"> (Coste Mayor - Coste Menor)</t>
  </si>
  <si>
    <t>(Pernoctaciones Mayor - Pernoctaciones Menor)</t>
  </si>
  <si>
    <t>Coste Variable Total:</t>
  </si>
  <si>
    <t>Producción total del Periodo y Costes</t>
  </si>
  <si>
    <t>Coste Fijo Total:</t>
  </si>
  <si>
    <t>(8b) Auditado los costes mensuales de recepción se ha considerado que en su mayoría son fijos y por tanto se ha considero correcto estimar un</t>
  </si>
  <si>
    <t>(8e) Analizados los costes del departamento comercial se consideran costes indirectos variables las comisiones pagadas a intermediarios que asicenden a:</t>
  </si>
  <si>
    <t>Costes Directos Variables</t>
  </si>
  <si>
    <t>Costes Indirectos Principales Operativos Variables</t>
  </si>
  <si>
    <r>
      <rPr>
        <b/>
        <sz val="11"/>
        <color rgb="FFFF0000"/>
        <rFont val="Calibri"/>
        <family val="2"/>
      </rPr>
      <t>Hotel Canary II *****</t>
    </r>
    <r>
      <rPr>
        <sz val="11"/>
        <rFont val="Calibri"/>
        <family val="2"/>
      </rPr>
      <t xml:space="preserve"> Ejercicio 20XY</t>
    </r>
  </si>
  <si>
    <t xml:space="preserve"> (Costes variables % volumen facturación)</t>
  </si>
  <si>
    <t xml:space="preserve"> Coste Producción Variable</t>
  </si>
  <si>
    <t xml:space="preserve"> = Margen Comercial neto</t>
  </si>
  <si>
    <t xml:space="preserve"> - Costes Fijos Comunes o de Estructura</t>
  </si>
  <si>
    <t>Subtotal costes de Estructura</t>
  </si>
  <si>
    <t xml:space="preserve"> = Resultado Analitico</t>
  </si>
  <si>
    <r>
      <t xml:space="preserve">Servicios </t>
    </r>
    <r>
      <rPr>
        <b/>
        <sz val="8"/>
        <rFont val="Calibri"/>
        <family val="2"/>
        <scheme val="minor"/>
      </rPr>
      <t>Comunes- Otros Rececpcion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</si>
</sst>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164" formatCode="0.0%"/>
    <numFmt numFmtId="165" formatCode="#,##0\ &quot;camas&quot;"/>
    <numFmt numFmtId="166" formatCode="#,##0\ &quot;m2&quot;"/>
    <numFmt numFmtId="167" formatCode="#,##0\ &quot;€&quot;"/>
    <numFmt numFmtId="168" formatCode="#,##0\ &quot;habitac&quot;"/>
    <numFmt numFmtId="169" formatCode="#,##0\ &quot;Kw&quot;"/>
    <numFmt numFmtId="170" formatCode="#,##0\ &quot;dias&quot;"/>
    <numFmt numFmtId="171" formatCode="#,##0\ &quot;hrs&quot;"/>
    <numFmt numFmtId="172" formatCode="#,##0\ &quot;pers&quot;"/>
    <numFmt numFmtId="173" formatCode="#,##0.0\ &quot;€/hr&quot;"/>
    <numFmt numFmtId="174" formatCode="0\ &quot;hrs&quot;"/>
    <numFmt numFmtId="175" formatCode="#,##0.0\ &quot;€hab&quot;"/>
    <numFmt numFmtId="176" formatCode="#,##0.0\ &quot;€/cam&quot;"/>
    <numFmt numFmtId="177" formatCode="#,##0.0\ &quot;€&quot;"/>
    <numFmt numFmtId="178" formatCode="#,##0.00\ &quot;€&quot;"/>
    <numFmt numFmtId="179" formatCode="#,##0\ &quot;Servicios&quot;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i/>
      <u/>
      <sz val="10"/>
      <name val="Arial"/>
      <family val="2"/>
    </font>
    <font>
      <b/>
      <i/>
      <sz val="10"/>
      <name val="Times New Roman"/>
      <family val="1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i/>
      <u/>
      <sz val="10"/>
      <name val="Times New Roman"/>
      <family val="1"/>
    </font>
    <font>
      <i/>
      <sz val="8"/>
      <color theme="1"/>
      <name val="Times New Roman"/>
      <family val="1"/>
    </font>
    <font>
      <b/>
      <sz val="8"/>
      <color rgb="FFFF000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8"/>
      <name val="Times New Roman"/>
      <family val="1"/>
    </font>
    <font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438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4" xfId="0" applyFont="1" applyBorder="1"/>
    <xf numFmtId="0" fontId="0" fillId="0" borderId="6" xfId="0" applyBorder="1"/>
    <xf numFmtId="0" fontId="7" fillId="3" borderId="0" xfId="0" applyFont="1" applyFill="1"/>
    <xf numFmtId="0" fontId="1" fillId="0" borderId="0" xfId="0" applyFont="1"/>
    <xf numFmtId="0" fontId="3" fillId="0" borderId="0" xfId="0" applyFont="1"/>
    <xf numFmtId="0" fontId="0" fillId="0" borderId="33" xfId="0" applyBorder="1"/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166" fontId="2" fillId="0" borderId="39" xfId="0" applyNumberFormat="1" applyFont="1" applyBorder="1"/>
    <xf numFmtId="166" fontId="2" fillId="0" borderId="40" xfId="0" applyNumberFormat="1" applyFont="1" applyBorder="1"/>
    <xf numFmtId="166" fontId="2" fillId="0" borderId="0" xfId="0" applyNumberFormat="1" applyFont="1"/>
    <xf numFmtId="166" fontId="2" fillId="0" borderId="41" xfId="0" applyNumberFormat="1" applyFont="1" applyBorder="1"/>
    <xf numFmtId="166" fontId="2" fillId="0" borderId="4" xfId="0" applyNumberFormat="1" applyFont="1" applyBorder="1"/>
    <xf numFmtId="0" fontId="15" fillId="0" borderId="0" xfId="0" applyFont="1" applyBorder="1"/>
    <xf numFmtId="0" fontId="15" fillId="0" borderId="0" xfId="0" applyFont="1"/>
    <xf numFmtId="167" fontId="12" fillId="0" borderId="0" xfId="0" applyNumberFormat="1" applyFont="1" applyBorder="1" applyAlignment="1">
      <alignment vertical="center" wrapText="1"/>
    </xf>
    <xf numFmtId="167" fontId="2" fillId="0" borderId="39" xfId="0" applyNumberFormat="1" applyFont="1" applyBorder="1"/>
    <xf numFmtId="167" fontId="2" fillId="0" borderId="40" xfId="0" applyNumberFormat="1" applyFont="1" applyBorder="1"/>
    <xf numFmtId="167" fontId="2" fillId="0" borderId="41" xfId="0" applyNumberFormat="1" applyFont="1" applyBorder="1"/>
    <xf numFmtId="167" fontId="2" fillId="0" borderId="4" xfId="0" applyNumberFormat="1" applyFont="1" applyBorder="1"/>
    <xf numFmtId="167" fontId="2" fillId="4" borderId="0" xfId="0" applyNumberFormat="1" applyFont="1" applyFill="1"/>
    <xf numFmtId="0" fontId="1" fillId="0" borderId="4" xfId="0" applyFont="1" applyBorder="1" applyAlignment="1">
      <alignment horizontal="center"/>
    </xf>
    <xf numFmtId="9" fontId="2" fillId="0" borderId="39" xfId="1" applyFont="1" applyBorder="1" applyAlignment="1">
      <alignment horizontal="center" vertical="center"/>
    </xf>
    <xf numFmtId="9" fontId="2" fillId="0" borderId="40" xfId="1" applyFont="1" applyBorder="1" applyAlignment="1">
      <alignment horizontal="center" vertical="center"/>
    </xf>
    <xf numFmtId="9" fontId="2" fillId="0" borderId="41" xfId="1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167" fontId="12" fillId="0" borderId="5" xfId="0" applyNumberFormat="1" applyFont="1" applyBorder="1" applyAlignment="1">
      <alignment vertical="center" wrapText="1"/>
    </xf>
    <xf numFmtId="0" fontId="21" fillId="0" borderId="0" xfId="0" applyFont="1"/>
    <xf numFmtId="169" fontId="2" fillId="0" borderId="39" xfId="0" applyNumberFormat="1" applyFont="1" applyBorder="1"/>
    <xf numFmtId="169" fontId="2" fillId="0" borderId="40" xfId="0" applyNumberFormat="1" applyFont="1" applyBorder="1"/>
    <xf numFmtId="169" fontId="2" fillId="0" borderId="41" xfId="0" applyNumberFormat="1" applyFont="1" applyBorder="1"/>
    <xf numFmtId="169" fontId="2" fillId="0" borderId="4" xfId="0" applyNumberFormat="1" applyFont="1" applyBorder="1"/>
    <xf numFmtId="167" fontId="12" fillId="5" borderId="0" xfId="0" applyNumberFormat="1" applyFont="1" applyFill="1" applyBorder="1" applyAlignment="1">
      <alignment vertical="center" wrapText="1"/>
    </xf>
    <xf numFmtId="170" fontId="2" fillId="0" borderId="0" xfId="0" applyNumberFormat="1" applyFont="1" applyBorder="1"/>
    <xf numFmtId="171" fontId="2" fillId="0" borderId="0" xfId="0" applyNumberFormat="1" applyFont="1" applyBorder="1"/>
    <xf numFmtId="167" fontId="2" fillId="5" borderId="0" xfId="0" applyNumberFormat="1" applyFont="1" applyFill="1"/>
    <xf numFmtId="167" fontId="0" fillId="0" borderId="0" xfId="0" applyNumberFormat="1"/>
    <xf numFmtId="173" fontId="2" fillId="0" borderId="0" xfId="0" applyNumberFormat="1" applyFont="1" applyBorder="1"/>
    <xf numFmtId="9" fontId="2" fillId="0" borderId="0" xfId="0" applyNumberFormat="1" applyFont="1"/>
    <xf numFmtId="9" fontId="2" fillId="0" borderId="0" xfId="1" applyFont="1"/>
    <xf numFmtId="167" fontId="24" fillId="0" borderId="0" xfId="0" applyNumberFormat="1" applyFont="1"/>
    <xf numFmtId="172" fontId="2" fillId="0" borderId="0" xfId="0" applyNumberFormat="1" applyFont="1"/>
    <xf numFmtId="167" fontId="2" fillId="0" borderId="0" xfId="0" applyNumberFormat="1" applyFont="1"/>
    <xf numFmtId="0" fontId="2" fillId="0" borderId="0" xfId="0" applyFont="1" applyBorder="1" applyAlignment="1">
      <alignment horizontal="center"/>
    </xf>
    <xf numFmtId="0" fontId="1" fillId="0" borderId="43" xfId="0" applyFont="1" applyBorder="1" applyAlignment="1">
      <alignment vertical="center"/>
    </xf>
    <xf numFmtId="167" fontId="2" fillId="0" borderId="4" xfId="0" applyNumberFormat="1" applyFont="1" applyBorder="1" applyAlignment="1">
      <alignment horizontal="right"/>
    </xf>
    <xf numFmtId="167" fontId="27" fillId="0" borderId="4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7" fontId="2" fillId="0" borderId="43" xfId="0" applyNumberFormat="1" applyFont="1" applyBorder="1" applyAlignment="1">
      <alignment horizontal="right" vertical="center" wrapText="1"/>
    </xf>
    <xf numFmtId="170" fontId="2" fillId="0" borderId="0" xfId="0" applyNumberFormat="1" applyFont="1" applyFill="1" applyBorder="1" applyAlignment="1">
      <alignment horizontal="left" vertical="center"/>
    </xf>
    <xf numFmtId="0" fontId="0" fillId="0" borderId="5" xfId="0" applyBorder="1"/>
    <xf numFmtId="167" fontId="2" fillId="0" borderId="38" xfId="0" applyNumberFormat="1" applyFont="1" applyBorder="1" applyAlignment="1">
      <alignment horizontal="right" vertical="center" wrapText="1"/>
    </xf>
    <xf numFmtId="167" fontId="18" fillId="0" borderId="4" xfId="0" applyNumberFormat="1" applyFont="1" applyBorder="1" applyAlignment="1">
      <alignment horizontal="right" vertical="center"/>
    </xf>
    <xf numFmtId="0" fontId="2" fillId="0" borderId="0" xfId="0" applyFont="1" applyFill="1" applyBorder="1"/>
    <xf numFmtId="174" fontId="0" fillId="0" borderId="0" xfId="0" applyNumberFormat="1"/>
    <xf numFmtId="168" fontId="2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167" fontId="2" fillId="5" borderId="2" xfId="0" applyNumberFormat="1" applyFont="1" applyFill="1" applyBorder="1"/>
    <xf numFmtId="167" fontId="2" fillId="0" borderId="1" xfId="0" applyNumberFormat="1" applyFont="1" applyBorder="1"/>
    <xf numFmtId="167" fontId="2" fillId="0" borderId="1" xfId="0" applyNumberFormat="1" applyFont="1" applyBorder="1" applyAlignment="1">
      <alignment horizontal="right" vertical="center"/>
    </xf>
    <xf numFmtId="0" fontId="2" fillId="0" borderId="35" xfId="0" applyFont="1" applyBorder="1"/>
    <xf numFmtId="0" fontId="0" fillId="0" borderId="1" xfId="0" applyBorder="1"/>
    <xf numFmtId="167" fontId="2" fillId="0" borderId="2" xfId="0" applyNumberFormat="1" applyFont="1" applyBorder="1"/>
    <xf numFmtId="167" fontId="2" fillId="0" borderId="2" xfId="0" applyNumberFormat="1" applyFont="1" applyBorder="1" applyAlignment="1">
      <alignment horizontal="right" vertical="center"/>
    </xf>
    <xf numFmtId="0" fontId="0" fillId="0" borderId="3" xfId="0" applyBorder="1"/>
    <xf numFmtId="167" fontId="2" fillId="5" borderId="3" xfId="0" applyNumberFormat="1" applyFont="1" applyFill="1" applyBorder="1"/>
    <xf numFmtId="167" fontId="2" fillId="5" borderId="38" xfId="0" applyNumberFormat="1" applyFont="1" applyFill="1" applyBorder="1"/>
    <xf numFmtId="164" fontId="2" fillId="0" borderId="1" xfId="1" applyNumberFormat="1" applyFont="1" applyBorder="1" applyAlignment="1">
      <alignment horizontal="center" vertical="center"/>
    </xf>
    <xf numFmtId="164" fontId="2" fillId="0" borderId="35" xfId="1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7" fontId="4" fillId="5" borderId="3" xfId="0" applyNumberFormat="1" applyFont="1" applyFill="1" applyBorder="1"/>
    <xf numFmtId="175" fontId="0" fillId="0" borderId="0" xfId="0" applyNumberFormat="1"/>
    <xf numFmtId="176" fontId="0" fillId="0" borderId="0" xfId="0" applyNumberFormat="1"/>
    <xf numFmtId="164" fontId="2" fillId="0" borderId="0" xfId="1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7" borderId="0" xfId="0" applyFont="1" applyFill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77" fontId="0" fillId="0" borderId="0" xfId="0" applyNumberFormat="1"/>
    <xf numFmtId="177" fontId="0" fillId="0" borderId="6" xfId="0" applyNumberFormat="1" applyBorder="1"/>
    <xf numFmtId="177" fontId="2" fillId="0" borderId="0" xfId="0" applyNumberFormat="1" applyFont="1"/>
    <xf numFmtId="177" fontId="0" fillId="0" borderId="0" xfId="0" applyNumberFormat="1" applyFill="1"/>
    <xf numFmtId="0" fontId="7" fillId="7" borderId="0" xfId="0" applyFont="1" applyFill="1" applyAlignment="1"/>
    <xf numFmtId="0" fontId="0" fillId="5" borderId="3" xfId="0" applyFill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3" xfId="0" applyNumberFormat="1" applyFont="1" applyBorder="1" applyAlignment="1">
      <alignment vertical="center" wrapText="1"/>
    </xf>
    <xf numFmtId="167" fontId="2" fillId="0" borderId="2" xfId="0" applyNumberFormat="1" applyFont="1" applyBorder="1" applyAlignment="1">
      <alignment horizontal="right" vertical="center"/>
    </xf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6" fillId="0" borderId="0" xfId="0" applyFont="1" applyAlignment="1"/>
    <xf numFmtId="0" fontId="2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77" fontId="4" fillId="5" borderId="0" xfId="0" applyNumberFormat="1" applyFont="1" applyFill="1" applyAlignment="1">
      <alignment horizontal="center"/>
    </xf>
    <xf numFmtId="9" fontId="0" fillId="0" borderId="0" xfId="1" applyFont="1"/>
    <xf numFmtId="0" fontId="3" fillId="0" borderId="0" xfId="0" applyFont="1" applyAlignment="1">
      <alignment horizontal="right" vertical="center"/>
    </xf>
    <xf numFmtId="167" fontId="2" fillId="0" borderId="6" xfId="0" applyNumberFormat="1" applyFont="1" applyBorder="1"/>
    <xf numFmtId="9" fontId="0" fillId="5" borderId="1" xfId="0" applyNumberFormat="1" applyFill="1" applyBorder="1" applyAlignment="1">
      <alignment horizontal="center" vertical="center"/>
    </xf>
    <xf numFmtId="9" fontId="0" fillId="5" borderId="20" xfId="0" applyNumberFormat="1" applyFill="1" applyBorder="1" applyAlignment="1">
      <alignment horizontal="center" vertical="center"/>
    </xf>
    <xf numFmtId="167" fontId="0" fillId="5" borderId="30" xfId="0" applyNumberFormat="1" applyFill="1" applyBorder="1" applyAlignment="1">
      <alignment vertical="center"/>
    </xf>
    <xf numFmtId="167" fontId="0" fillId="5" borderId="2" xfId="0" applyNumberFormat="1" applyFill="1" applyBorder="1" applyAlignment="1">
      <alignment horizontal="right" vertical="center"/>
    </xf>
    <xf numFmtId="179" fontId="2" fillId="0" borderId="0" xfId="0" applyNumberFormat="1" applyFont="1" applyAlignment="1"/>
    <xf numFmtId="177" fontId="2" fillId="5" borderId="0" xfId="0" applyNumberFormat="1" applyFont="1" applyFill="1"/>
    <xf numFmtId="177" fontId="1" fillId="0" borderId="0" xfId="0" applyNumberFormat="1" applyFont="1"/>
    <xf numFmtId="178" fontId="0" fillId="0" borderId="0" xfId="0" applyNumberFormat="1"/>
    <xf numFmtId="178" fontId="4" fillId="5" borderId="0" xfId="0" applyNumberFormat="1" applyFont="1" applyFill="1" applyAlignment="1">
      <alignment horizontal="right" vertical="center"/>
    </xf>
    <xf numFmtId="177" fontId="0" fillId="0" borderId="0" xfId="0" applyNumberFormat="1" applyAlignment="1">
      <alignment horizontal="right"/>
    </xf>
    <xf numFmtId="0" fontId="3" fillId="0" borderId="12" xfId="0" applyFont="1" applyBorder="1" applyAlignment="1">
      <alignment vertical="center" textRotation="90" wrapText="1"/>
    </xf>
    <xf numFmtId="0" fontId="33" fillId="0" borderId="3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7" fontId="2" fillId="0" borderId="38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7" fontId="2" fillId="0" borderId="43" xfId="0" applyNumberFormat="1" applyFont="1" applyBorder="1"/>
    <xf numFmtId="9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0" fillId="0" borderId="36" xfId="0" applyBorder="1"/>
    <xf numFmtId="0" fontId="0" fillId="0" borderId="35" xfId="0" applyBorder="1"/>
    <xf numFmtId="0" fontId="22" fillId="0" borderId="35" xfId="0" applyFont="1" applyBorder="1" applyAlignment="1">
      <alignment horizontal="left"/>
    </xf>
    <xf numFmtId="164" fontId="2" fillId="0" borderId="2" xfId="0" applyNumberFormat="1" applyFont="1" applyBorder="1"/>
    <xf numFmtId="177" fontId="2" fillId="0" borderId="2" xfId="0" applyNumberFormat="1" applyFont="1" applyBorder="1"/>
    <xf numFmtId="0" fontId="22" fillId="0" borderId="34" xfId="0" applyFont="1" applyBorder="1"/>
    <xf numFmtId="167" fontId="4" fillId="0" borderId="43" xfId="0" applyNumberFormat="1" applyFont="1" applyBorder="1"/>
    <xf numFmtId="164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0" fontId="19" fillId="0" borderId="3" xfId="0" applyFont="1" applyBorder="1" applyAlignment="1">
      <alignment horizontal="center" vertical="center" wrapText="1"/>
    </xf>
    <xf numFmtId="179" fontId="2" fillId="0" borderId="1" xfId="0" applyNumberFormat="1" applyFont="1" applyBorder="1" applyAlignme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0" fillId="0" borderId="1" xfId="3" applyNumberFormat="1" applyFont="1" applyBorder="1" applyAlignment="1">
      <alignment horizontal="right" vertical="center"/>
    </xf>
    <xf numFmtId="177" fontId="0" fillId="0" borderId="3" xfId="3" applyNumberFormat="1" applyFont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7" fontId="0" fillId="0" borderId="2" xfId="3" applyNumberFormat="1" applyFont="1" applyBorder="1" applyAlignment="1">
      <alignment horizontal="right" vertical="center"/>
    </xf>
    <xf numFmtId="177" fontId="0" fillId="0" borderId="23" xfId="3" applyNumberFormat="1" applyFont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179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165" fontId="0" fillId="0" borderId="6" xfId="0" applyNumberFormat="1" applyBorder="1" applyAlignment="1">
      <alignment horizontal="right" vertical="center"/>
    </xf>
    <xf numFmtId="177" fontId="0" fillId="0" borderId="0" xfId="0" applyNumberFormat="1" applyAlignment="1">
      <alignment horizontal="left" vertical="center"/>
    </xf>
    <xf numFmtId="179" fontId="2" fillId="0" borderId="6" xfId="0" applyNumberFormat="1" applyFont="1" applyBorder="1" applyAlignment="1">
      <alignment horizontal="right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17" xfId="3" applyNumberFormat="1" applyFont="1" applyBorder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67" fontId="18" fillId="4" borderId="0" xfId="0" applyNumberFormat="1" applyFont="1" applyFill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68" fontId="0" fillId="0" borderId="0" xfId="0" applyNumberFormat="1" applyAlignment="1">
      <alignment horizontal="center"/>
    </xf>
    <xf numFmtId="0" fontId="19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2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11" fillId="0" borderId="3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6" fillId="4" borderId="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7" fontId="2" fillId="0" borderId="36" xfId="0" applyNumberFormat="1" applyFont="1" applyBorder="1" applyAlignment="1">
      <alignment horizontal="right" vertical="center" wrapText="1"/>
    </xf>
    <xf numFmtId="167" fontId="2" fillId="0" borderId="5" xfId="0" applyNumberFormat="1" applyFont="1" applyBorder="1" applyAlignment="1">
      <alignment horizontal="right" vertical="center" wrapText="1"/>
    </xf>
    <xf numFmtId="167" fontId="2" fillId="0" borderId="35" xfId="0" applyNumberFormat="1" applyFont="1" applyBorder="1" applyAlignment="1">
      <alignment horizontal="right" vertical="center" wrapText="1"/>
    </xf>
    <xf numFmtId="167" fontId="2" fillId="0" borderId="38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7" fontId="2" fillId="0" borderId="34" xfId="0" applyNumberFormat="1" applyFont="1" applyBorder="1" applyAlignment="1">
      <alignment horizontal="right" vertical="center" wrapText="1"/>
    </xf>
    <xf numFmtId="167" fontId="2" fillId="0" borderId="37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11" fillId="0" borderId="26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72" fontId="1" fillId="0" borderId="36" xfId="0" applyNumberFormat="1" applyFont="1" applyBorder="1" applyAlignment="1">
      <alignment horizontal="right" vertical="center" wrapText="1"/>
    </xf>
    <xf numFmtId="172" fontId="1" fillId="0" borderId="5" xfId="0" applyNumberFormat="1" applyFont="1" applyBorder="1" applyAlignment="1">
      <alignment horizontal="right" vertical="center" wrapText="1"/>
    </xf>
    <xf numFmtId="172" fontId="1" fillId="0" borderId="35" xfId="0" applyNumberFormat="1" applyFont="1" applyBorder="1" applyAlignment="1">
      <alignment horizontal="right" vertical="center" wrapText="1"/>
    </xf>
    <xf numFmtId="172" fontId="1" fillId="0" borderId="38" xfId="0" applyNumberFormat="1" applyFont="1" applyBorder="1" applyAlignment="1">
      <alignment horizontal="right" vertical="center" wrapText="1"/>
    </xf>
    <xf numFmtId="172" fontId="1" fillId="0" borderId="34" xfId="0" applyNumberFormat="1" applyFont="1" applyBorder="1" applyAlignment="1">
      <alignment horizontal="right" vertical="center" wrapText="1"/>
    </xf>
    <xf numFmtId="172" fontId="1" fillId="0" borderId="37" xfId="0" applyNumberFormat="1" applyFont="1" applyBorder="1" applyAlignment="1">
      <alignment horizontal="right" vertical="center" wrapText="1"/>
    </xf>
    <xf numFmtId="167" fontId="0" fillId="5" borderId="41" xfId="0" applyNumberFormat="1" applyFill="1" applyBorder="1" applyAlignment="1">
      <alignment horizontal="center" vertical="center" wrapText="1"/>
    </xf>
    <xf numFmtId="167" fontId="0" fillId="5" borderId="40" xfId="0" applyNumberForma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167" fontId="0" fillId="5" borderId="36" xfId="0" applyNumberFormat="1" applyFill="1" applyBorder="1" applyAlignment="1">
      <alignment horizontal="center" vertical="center" wrapText="1"/>
    </xf>
    <xf numFmtId="167" fontId="0" fillId="5" borderId="35" xfId="0" applyNumberForma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2" fontId="1" fillId="0" borderId="1" xfId="0" applyNumberFormat="1" applyFont="1" applyBorder="1" applyAlignment="1">
      <alignment horizontal="right" vertical="center" wrapText="1"/>
    </xf>
    <xf numFmtId="172" fontId="1" fillId="0" borderId="3" xfId="0" applyNumberFormat="1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167" fontId="2" fillId="0" borderId="4" xfId="0" applyNumberFormat="1" applyFont="1" applyBorder="1" applyAlignment="1">
      <alignment horizontal="right" vertical="center"/>
    </xf>
    <xf numFmtId="0" fontId="26" fillId="5" borderId="0" xfId="0" applyFont="1" applyFill="1" applyAlignment="1">
      <alignment horizontal="left"/>
    </xf>
    <xf numFmtId="0" fontId="15" fillId="0" borderId="37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19" fillId="4" borderId="0" xfId="0" applyFont="1" applyFill="1" applyAlignment="1">
      <alignment horizontal="right" vertical="center"/>
    </xf>
    <xf numFmtId="167" fontId="27" fillId="0" borderId="4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 wrapText="1"/>
    </xf>
    <xf numFmtId="167" fontId="2" fillId="0" borderId="43" xfId="0" applyNumberFormat="1" applyFont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2" fillId="0" borderId="39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167" fontId="8" fillId="2" borderId="36" xfId="0" applyNumberFormat="1" applyFont="1" applyFill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9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4" fontId="2" fillId="0" borderId="0" xfId="0" applyNumberFormat="1" applyFont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5" borderId="37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25" fillId="5" borderId="42" xfId="0" applyFont="1" applyFill="1" applyBorder="1" applyAlignment="1">
      <alignment horizontal="left"/>
    </xf>
    <xf numFmtId="0" fontId="25" fillId="5" borderId="0" xfId="0" applyFont="1" applyFill="1" applyBorder="1" applyAlignment="1">
      <alignment horizontal="left"/>
    </xf>
    <xf numFmtId="0" fontId="25" fillId="5" borderId="43" xfId="0" applyFont="1" applyFill="1" applyBorder="1" applyAlignment="1">
      <alignment horizontal="left"/>
    </xf>
    <xf numFmtId="0" fontId="12" fillId="0" borderId="34" xfId="0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0" fontId="33" fillId="0" borderId="4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right" vertical="center"/>
    </xf>
    <xf numFmtId="0" fontId="15" fillId="5" borderId="5" xfId="0" applyFont="1" applyFill="1" applyBorder="1" applyAlignment="1">
      <alignment horizontal="right" vertical="center"/>
    </xf>
    <xf numFmtId="0" fontId="15" fillId="5" borderId="38" xfId="0" applyFont="1" applyFill="1" applyBorder="1" applyAlignment="1">
      <alignment horizontal="right" vertical="center"/>
    </xf>
    <xf numFmtId="177" fontId="15" fillId="0" borderId="42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7" fontId="15" fillId="0" borderId="43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vertical="center" wrapText="1"/>
    </xf>
    <xf numFmtId="167" fontId="2" fillId="0" borderId="3" xfId="0" applyNumberFormat="1" applyFont="1" applyBorder="1" applyAlignment="1">
      <alignment vertical="center" wrapText="1"/>
    </xf>
    <xf numFmtId="177" fontId="15" fillId="5" borderId="37" xfId="0" applyNumberFormat="1" applyFont="1" applyFill="1" applyBorder="1" applyAlignment="1">
      <alignment horizontal="right" vertical="center"/>
    </xf>
    <xf numFmtId="177" fontId="15" fillId="5" borderId="5" xfId="0" applyNumberFormat="1" applyFont="1" applyFill="1" applyBorder="1" applyAlignment="1">
      <alignment horizontal="right" vertical="center"/>
    </xf>
    <xf numFmtId="177" fontId="15" fillId="5" borderId="38" xfId="0" applyNumberFormat="1" applyFont="1" applyFill="1" applyBorder="1" applyAlignment="1">
      <alignment horizontal="right" vertical="center"/>
    </xf>
    <xf numFmtId="167" fontId="2" fillId="0" borderId="2" xfId="0" applyNumberFormat="1" applyFont="1" applyBorder="1" applyAlignment="1">
      <alignment vertical="center" wrapText="1"/>
    </xf>
    <xf numFmtId="0" fontId="25" fillId="5" borderId="42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43" xfId="0" applyFont="1" applyFill="1" applyBorder="1" applyAlignment="1">
      <alignment horizontal="left" vertical="center" wrapText="1"/>
    </xf>
    <xf numFmtId="167" fontId="2" fillId="5" borderId="2" xfId="0" applyNumberFormat="1" applyFont="1" applyFill="1" applyBorder="1" applyAlignment="1">
      <alignment horizontal="right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7" fontId="0" fillId="0" borderId="17" xfId="3" applyNumberFormat="1" applyFont="1" applyBorder="1" applyAlignment="1">
      <alignment horizontal="right" vertical="center"/>
    </xf>
    <xf numFmtId="167" fontId="0" fillId="0" borderId="2" xfId="3" applyNumberFormat="1" applyFont="1" applyBorder="1" applyAlignment="1">
      <alignment horizontal="right" vertical="center"/>
    </xf>
    <xf numFmtId="167" fontId="0" fillId="0" borderId="3" xfId="3" applyNumberFormat="1" applyFont="1" applyBorder="1" applyAlignment="1">
      <alignment horizontal="right" vertical="center"/>
    </xf>
    <xf numFmtId="167" fontId="0" fillId="5" borderId="17" xfId="0" applyNumberFormat="1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167" fontId="0" fillId="5" borderId="18" xfId="0" applyNumberFormat="1" applyFill="1" applyBorder="1" applyAlignment="1">
      <alignment horizontal="right" vertical="center" wrapText="1"/>
    </xf>
    <xf numFmtId="167" fontId="0" fillId="5" borderId="30" xfId="0" applyNumberFormat="1" applyFill="1" applyBorder="1" applyAlignment="1">
      <alignment horizontal="right" vertical="center" wrapText="1"/>
    </xf>
    <xf numFmtId="167" fontId="0" fillId="5" borderId="19" xfId="0" applyNumberFormat="1" applyFill="1" applyBorder="1" applyAlignment="1">
      <alignment horizontal="right" vertical="center" wrapText="1"/>
    </xf>
    <xf numFmtId="0" fontId="22" fillId="0" borderId="42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43" xfId="0" applyFont="1" applyBorder="1" applyAlignment="1">
      <alignment horizontal="right"/>
    </xf>
    <xf numFmtId="167" fontId="18" fillId="0" borderId="0" xfId="0" applyNumberFormat="1" applyFont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3" fillId="0" borderId="35" xfId="0" applyFont="1" applyBorder="1" applyAlignment="1">
      <alignment vertical="center"/>
    </xf>
    <xf numFmtId="0" fontId="33" fillId="0" borderId="38" xfId="0" applyFont="1" applyBorder="1" applyAlignment="1">
      <alignment vertical="center"/>
    </xf>
    <xf numFmtId="0" fontId="25" fillId="5" borderId="37" xfId="0" applyFont="1" applyFill="1" applyBorder="1" applyAlignment="1">
      <alignment horizontal="right"/>
    </xf>
    <xf numFmtId="0" fontId="25" fillId="5" borderId="5" xfId="0" applyFont="1" applyFill="1" applyBorder="1" applyAlignment="1">
      <alignment horizontal="right"/>
    </xf>
    <xf numFmtId="0" fontId="25" fillId="5" borderId="38" xfId="0" applyFont="1" applyFill="1" applyBorder="1" applyAlignment="1">
      <alignment horizontal="right"/>
    </xf>
    <xf numFmtId="167" fontId="0" fillId="5" borderId="1" xfId="0" applyNumberFormat="1" applyFill="1" applyBorder="1" applyAlignment="1">
      <alignment horizontal="right" vertical="center"/>
    </xf>
    <xf numFmtId="0" fontId="35" fillId="0" borderId="0" xfId="0" applyFont="1" applyAlignment="1">
      <alignment horizontal="center"/>
    </xf>
    <xf numFmtId="167" fontId="0" fillId="0" borderId="1" xfId="3" applyNumberFormat="1" applyFont="1" applyBorder="1" applyAlignment="1">
      <alignment horizontal="right" vertical="center"/>
    </xf>
    <xf numFmtId="167" fontId="0" fillId="0" borderId="23" xfId="3" applyNumberFormat="1" applyFont="1" applyBorder="1" applyAlignment="1">
      <alignment horizontal="right" vertical="center"/>
    </xf>
    <xf numFmtId="167" fontId="0" fillId="5" borderId="1" xfId="0" applyNumberFormat="1" applyFill="1" applyBorder="1" applyAlignment="1">
      <alignment horizontal="center" vertical="center"/>
    </xf>
    <xf numFmtId="167" fontId="0" fillId="5" borderId="20" xfId="0" applyNumberFormat="1" applyFill="1" applyBorder="1" applyAlignment="1">
      <alignment horizontal="right" vertical="center"/>
    </xf>
    <xf numFmtId="0" fontId="0" fillId="5" borderId="24" xfId="0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177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167" fontId="0" fillId="5" borderId="3" xfId="0" applyNumberFormat="1" applyFill="1" applyBorder="1" applyAlignment="1">
      <alignment horizontal="right" vertical="center"/>
    </xf>
    <xf numFmtId="167" fontId="0" fillId="5" borderId="19" xfId="0" applyNumberForma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0" fillId="5" borderId="17" xfId="0" applyNumberFormat="1" applyFill="1" applyBorder="1" applyAlignment="1">
      <alignment horizontal="right" vertical="center"/>
    </xf>
    <xf numFmtId="177" fontId="0" fillId="5" borderId="3" xfId="0" applyNumberFormat="1" applyFill="1" applyBorder="1" applyAlignment="1">
      <alignment horizontal="right" vertical="center"/>
    </xf>
    <xf numFmtId="167" fontId="0" fillId="5" borderId="18" xfId="0" applyNumberFormat="1" applyFill="1" applyBorder="1" applyAlignment="1">
      <alignment horizontal="right" vertical="center"/>
    </xf>
    <xf numFmtId="167" fontId="0" fillId="0" borderId="1" xfId="3" applyNumberFormat="1" applyFont="1" applyBorder="1" applyAlignment="1">
      <alignment horizontal="center" vertical="center"/>
    </xf>
    <xf numFmtId="167" fontId="0" fillId="0" borderId="2" xfId="3" applyNumberFormat="1" applyFont="1" applyBorder="1" applyAlignment="1">
      <alignment horizontal="center" vertical="center"/>
    </xf>
    <xf numFmtId="0" fontId="0" fillId="5" borderId="23" xfId="0" applyFill="1" applyBorder="1" applyAlignment="1">
      <alignment horizontal="right" vertical="center"/>
    </xf>
    <xf numFmtId="0" fontId="11" fillId="0" borderId="38" xfId="0" applyFont="1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%20Mis%20Documentos\A%20Costes\02%20Mis%20Casos\H%20Direct%20Costin%20y%20PM\Turismo\Hotel%20Canary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ary II Enunciado"/>
      <sheetName val="Canary II Solucion"/>
    </sheetNames>
    <sheetDataSet>
      <sheetData sheetId="0">
        <row r="5">
          <cell r="I5" t="str">
            <v>HAB</v>
          </cell>
        </row>
        <row r="7">
          <cell r="I7" t="str">
            <v>REC</v>
          </cell>
        </row>
        <row r="11">
          <cell r="I11" t="str">
            <v>RES</v>
          </cell>
        </row>
        <row r="15">
          <cell r="I15" t="str">
            <v>TIE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uehoteles.com/hotel-de-puerto-santiago-Playa-La-Arena-4C15P171D759Z14749EF.ht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5"/>
  <sheetViews>
    <sheetView workbookViewId="0">
      <selection activeCell="J37" sqref="J37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8.28515625" customWidth="1"/>
    <col min="4" max="4" width="8" customWidth="1"/>
    <col min="5" max="5" width="1.28515625" customWidth="1"/>
    <col min="6" max="6" width="3.5703125" customWidth="1"/>
    <col min="7" max="7" width="3.7109375" customWidth="1"/>
    <col min="8" max="8" width="14" customWidth="1"/>
    <col min="9" max="9" width="5" customWidth="1"/>
    <col min="10" max="10" width="9" customWidth="1"/>
    <col min="15" max="15" width="22.85546875" customWidth="1"/>
    <col min="16" max="16" width="3.28515625" customWidth="1"/>
    <col min="17" max="17" width="13.28515625" customWidth="1"/>
    <col min="18" max="19" width="7.7109375" bestFit="1" customWidth="1"/>
    <col min="20" max="20" width="8.5703125" bestFit="1" customWidth="1"/>
    <col min="21" max="21" width="7.85546875" bestFit="1" customWidth="1"/>
    <col min="22" max="22" width="8.5703125" bestFit="1" customWidth="1"/>
    <col min="23" max="24" width="7.7109375" bestFit="1" customWidth="1"/>
    <col min="25" max="25" width="6.140625" bestFit="1" customWidth="1"/>
    <col min="26" max="26" width="7.7109375" bestFit="1" customWidth="1"/>
    <col min="27" max="27" width="8.5703125" bestFit="1" customWidth="1"/>
    <col min="31" max="31" width="9.5703125" customWidth="1"/>
    <col min="32" max="32" width="10.28515625" customWidth="1"/>
    <col min="33" max="33" width="9.5703125" customWidth="1"/>
    <col min="41" max="41" width="7.85546875" customWidth="1"/>
    <col min="42" max="42" width="21.42578125" customWidth="1"/>
    <col min="43" max="43" width="10.42578125" bestFit="1" customWidth="1"/>
    <col min="44" max="44" width="7.5703125" bestFit="1" customWidth="1"/>
    <col min="45" max="45" width="8.42578125" bestFit="1" customWidth="1"/>
    <col min="46" max="46" width="10.42578125" bestFit="1" customWidth="1"/>
    <col min="47" max="47" width="7.85546875" bestFit="1" customWidth="1"/>
    <col min="48" max="48" width="9.140625" bestFit="1" customWidth="1"/>
    <col min="49" max="49" width="7" bestFit="1" customWidth="1"/>
    <col min="50" max="51" width="7.85546875" bestFit="1" customWidth="1"/>
    <col min="52" max="52" width="12.28515625" bestFit="1" customWidth="1"/>
    <col min="53" max="54" width="7.85546875" customWidth="1"/>
    <col min="56" max="56" width="3.42578125" customWidth="1"/>
    <col min="57" max="57" width="4.7109375" customWidth="1"/>
    <col min="58" max="58" width="12.42578125" customWidth="1"/>
    <col min="59" max="59" width="9.42578125" customWidth="1"/>
    <col min="60" max="60" width="5.7109375" customWidth="1"/>
    <col min="61" max="61" width="16.28515625" customWidth="1"/>
    <col min="62" max="62" width="15" customWidth="1"/>
    <col min="63" max="63" width="19.85546875" customWidth="1"/>
    <col min="64" max="64" width="12.28515625" bestFit="1" customWidth="1"/>
    <col min="65" max="65" width="5.28515625" customWidth="1"/>
    <col min="66" max="66" width="13.28515625" customWidth="1"/>
  </cols>
  <sheetData>
    <row r="1" spans="1:63" x14ac:dyDescent="0.2">
      <c r="A1" s="5" t="s">
        <v>2</v>
      </c>
      <c r="Q1" s="5" t="s">
        <v>156</v>
      </c>
      <c r="R1" s="5"/>
      <c r="S1" s="5"/>
      <c r="T1" s="5"/>
      <c r="U1" s="5"/>
      <c r="AC1" s="5" t="s">
        <v>158</v>
      </c>
      <c r="AD1" s="5"/>
      <c r="AE1" s="5"/>
      <c r="AF1" s="5"/>
      <c r="AG1" s="5"/>
      <c r="AH1" s="5"/>
      <c r="AI1" s="5"/>
      <c r="AJ1" s="5"/>
      <c r="AK1" s="5"/>
      <c r="AL1" s="5"/>
      <c r="AM1" s="5"/>
      <c r="AO1" s="5" t="s">
        <v>159</v>
      </c>
      <c r="AP1" s="5"/>
      <c r="AQ1" s="5"/>
      <c r="AR1" s="5"/>
      <c r="AS1" s="5"/>
      <c r="AT1" s="5"/>
      <c r="BD1" s="5" t="s">
        <v>168</v>
      </c>
      <c r="BE1" s="5"/>
      <c r="BF1" s="5"/>
      <c r="BG1" s="5"/>
      <c r="BH1" s="5"/>
      <c r="BI1" s="5"/>
      <c r="BJ1" s="5"/>
    </row>
    <row r="2" spans="1:63" ht="15.75" customHeight="1" thickBot="1" x14ac:dyDescent="0.25">
      <c r="A2" s="231" t="s">
        <v>7</v>
      </c>
      <c r="B2" s="231"/>
      <c r="C2" s="231"/>
      <c r="D2" s="231"/>
      <c r="G2" s="5" t="s">
        <v>155</v>
      </c>
      <c r="H2" s="5"/>
      <c r="I2" s="5"/>
      <c r="J2" s="5"/>
      <c r="K2" s="5"/>
      <c r="L2" s="5"/>
      <c r="AC2" s="6" t="s">
        <v>8</v>
      </c>
      <c r="AO2" s="232" t="s">
        <v>9</v>
      </c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87"/>
      <c r="BB2" s="87"/>
    </row>
    <row r="3" spans="1:63" ht="16.5" thickBot="1" x14ac:dyDescent="0.25">
      <c r="A3" s="231"/>
      <c r="B3" s="231"/>
      <c r="C3" s="231"/>
      <c r="D3" s="231"/>
      <c r="H3" s="230" t="s">
        <v>10</v>
      </c>
      <c r="I3" s="230"/>
      <c r="J3" s="230"/>
      <c r="K3" s="230"/>
      <c r="L3" s="230"/>
      <c r="M3" s="230"/>
      <c r="N3" s="230"/>
      <c r="O3" s="230"/>
      <c r="R3" s="230" t="s">
        <v>11</v>
      </c>
      <c r="S3" s="230"/>
      <c r="T3" s="230"/>
      <c r="U3" s="230"/>
      <c r="V3" s="230"/>
      <c r="W3" s="230"/>
      <c r="X3" s="230"/>
      <c r="Y3" s="230"/>
      <c r="Z3" s="230"/>
      <c r="AA3" s="230"/>
      <c r="AC3" s="7" t="s">
        <v>12</v>
      </c>
      <c r="AF3" s="233" t="str">
        <f>AC2</f>
        <v>Análisis y Estimación de Costes de Personal Unitario al Año</v>
      </c>
      <c r="AG3" s="233"/>
      <c r="AH3" s="233"/>
      <c r="AI3" s="233"/>
      <c r="AJ3" s="233"/>
      <c r="AK3" s="233"/>
      <c r="AL3" s="233"/>
      <c r="AM3" s="233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87"/>
      <c r="BB3" s="87"/>
      <c r="BH3" s="200" t="s">
        <v>147</v>
      </c>
      <c r="BI3" s="112" t="s">
        <v>164</v>
      </c>
      <c r="BJ3" s="112" t="s">
        <v>165</v>
      </c>
      <c r="BK3" s="113" t="s">
        <v>0</v>
      </c>
    </row>
    <row r="4" spans="1:63" ht="13.5" thickBot="1" x14ac:dyDescent="0.25">
      <c r="A4" s="231"/>
      <c r="B4" s="231"/>
      <c r="C4" s="231"/>
      <c r="D4" s="231"/>
      <c r="G4" s="8"/>
      <c r="H4" s="234" t="s">
        <v>13</v>
      </c>
      <c r="I4" s="235"/>
      <c r="J4" s="236" t="s">
        <v>14</v>
      </c>
      <c r="K4" s="234"/>
      <c r="L4" s="234"/>
      <c r="M4" s="234"/>
      <c r="N4" s="235"/>
      <c r="O4" s="9" t="s">
        <v>15</v>
      </c>
      <c r="P4" s="10"/>
      <c r="R4" s="237" t="s">
        <v>16</v>
      </c>
      <c r="S4" s="238"/>
      <c r="T4" s="237" t="s">
        <v>17</v>
      </c>
      <c r="U4" s="239"/>
      <c r="V4" s="239"/>
      <c r="W4" s="238"/>
      <c r="X4" s="237" t="s">
        <v>18</v>
      </c>
      <c r="Y4" s="239"/>
      <c r="Z4" s="238"/>
      <c r="AA4" s="226" t="s">
        <v>1</v>
      </c>
      <c r="AC4" s="228" t="s">
        <v>19</v>
      </c>
      <c r="AD4" s="228"/>
      <c r="AE4" s="229" t="s">
        <v>16</v>
      </c>
      <c r="AF4" s="229"/>
      <c r="AG4" s="229" t="s">
        <v>17</v>
      </c>
      <c r="AH4" s="229"/>
      <c r="AI4" s="229"/>
      <c r="AJ4" s="229"/>
      <c r="AK4" s="229" t="s">
        <v>18</v>
      </c>
      <c r="AL4" s="229"/>
      <c r="AM4" s="229"/>
      <c r="AQ4" s="230" t="s">
        <v>1</v>
      </c>
      <c r="AR4" s="229" t="s">
        <v>16</v>
      </c>
      <c r="AS4" s="229"/>
      <c r="AT4" s="229" t="s">
        <v>17</v>
      </c>
      <c r="AU4" s="229"/>
      <c r="AV4" s="229"/>
      <c r="AW4" s="229"/>
      <c r="AX4" s="229" t="s">
        <v>18</v>
      </c>
      <c r="AY4" s="229"/>
      <c r="AZ4" s="229"/>
      <c r="BA4" s="88"/>
      <c r="BB4" s="88"/>
      <c r="BH4" s="201"/>
      <c r="BI4" s="114" t="s">
        <v>163</v>
      </c>
      <c r="BJ4" s="114" t="s">
        <v>166</v>
      </c>
      <c r="BK4" s="115" t="s">
        <v>167</v>
      </c>
    </row>
    <row r="5" spans="1:63" x14ac:dyDescent="0.2">
      <c r="A5" s="5" t="s">
        <v>153</v>
      </c>
      <c r="B5" s="5"/>
      <c r="C5" s="5"/>
      <c r="G5" s="273" t="s">
        <v>20</v>
      </c>
      <c r="H5" s="276" t="s">
        <v>4</v>
      </c>
      <c r="I5" s="207" t="s">
        <v>21</v>
      </c>
      <c r="J5" s="277" t="s">
        <v>22</v>
      </c>
      <c r="K5" s="277"/>
      <c r="L5" s="277"/>
      <c r="M5" s="277"/>
      <c r="N5" s="277"/>
      <c r="O5" s="278" t="s">
        <v>23</v>
      </c>
      <c r="P5" s="11"/>
      <c r="R5" s="12" t="s">
        <v>24</v>
      </c>
      <c r="S5" s="13" t="s">
        <v>25</v>
      </c>
      <c r="T5" s="12" t="s">
        <v>21</v>
      </c>
      <c r="U5" s="14" t="s">
        <v>26</v>
      </c>
      <c r="V5" s="14" t="s">
        <v>27</v>
      </c>
      <c r="W5" s="13" t="s">
        <v>28</v>
      </c>
      <c r="X5" s="12" t="s">
        <v>29</v>
      </c>
      <c r="Y5" s="14" t="s">
        <v>30</v>
      </c>
      <c r="Z5" s="13" t="s">
        <v>31</v>
      </c>
      <c r="AA5" s="227"/>
      <c r="AC5" s="228"/>
      <c r="AD5" s="228"/>
      <c r="AE5" s="10" t="s">
        <v>24</v>
      </c>
      <c r="AF5" s="10" t="s">
        <v>25</v>
      </c>
      <c r="AG5" s="10" t="s">
        <v>21</v>
      </c>
      <c r="AH5" s="10" t="s">
        <v>26</v>
      </c>
      <c r="AI5" s="10" t="s">
        <v>27</v>
      </c>
      <c r="AJ5" s="10" t="s">
        <v>28</v>
      </c>
      <c r="AK5" s="10" t="s">
        <v>29</v>
      </c>
      <c r="AL5" s="10" t="s">
        <v>30</v>
      </c>
      <c r="AM5" s="10" t="s">
        <v>31</v>
      </c>
      <c r="AQ5" s="230"/>
      <c r="AR5" s="10" t="s">
        <v>24</v>
      </c>
      <c r="AS5" s="10" t="s">
        <v>25</v>
      </c>
      <c r="AT5" s="10" t="s">
        <v>21</v>
      </c>
      <c r="AU5" s="10" t="s">
        <v>26</v>
      </c>
      <c r="AV5" s="10" t="s">
        <v>27</v>
      </c>
      <c r="AW5" s="10" t="s">
        <v>28</v>
      </c>
      <c r="AX5" s="10" t="s">
        <v>29</v>
      </c>
      <c r="AY5" s="10" t="s">
        <v>30</v>
      </c>
      <c r="AZ5" s="10" t="s">
        <v>31</v>
      </c>
      <c r="BA5" s="89"/>
      <c r="BB5" s="89"/>
      <c r="BD5" s="202" t="s">
        <v>13</v>
      </c>
      <c r="BE5" s="202" t="s">
        <v>162</v>
      </c>
      <c r="BF5" s="205" t="s">
        <v>4</v>
      </c>
      <c r="BG5" s="207" t="s">
        <v>21</v>
      </c>
      <c r="BH5" s="221" t="s">
        <v>170</v>
      </c>
      <c r="BI5" s="188">
        <f>AT20</f>
        <v>1753374</v>
      </c>
      <c r="BJ5" s="106"/>
      <c r="BK5" s="107"/>
    </row>
    <row r="6" spans="1:63" x14ac:dyDescent="0.2">
      <c r="A6" s="248" t="s">
        <v>32</v>
      </c>
      <c r="B6" s="248"/>
      <c r="C6" s="249">
        <v>65</v>
      </c>
      <c r="D6" s="249"/>
      <c r="G6" s="274"/>
      <c r="H6" s="244"/>
      <c r="I6" s="208"/>
      <c r="J6" s="247"/>
      <c r="K6" s="247"/>
      <c r="L6" s="247"/>
      <c r="M6" s="247"/>
      <c r="N6" s="247"/>
      <c r="O6" s="253"/>
      <c r="P6" s="11"/>
      <c r="Q6" s="15" t="s">
        <v>33</v>
      </c>
      <c r="R6" s="16">
        <v>120</v>
      </c>
      <c r="S6" s="17">
        <v>80</v>
      </c>
      <c r="T6" s="18">
        <v>2500</v>
      </c>
      <c r="U6" s="18">
        <v>90</v>
      </c>
      <c r="V6" s="18">
        <v>1500</v>
      </c>
      <c r="W6" s="18">
        <v>200</v>
      </c>
      <c r="X6" s="16">
        <v>100</v>
      </c>
      <c r="Y6" s="19">
        <v>50</v>
      </c>
      <c r="Z6" s="17">
        <v>150</v>
      </c>
      <c r="AA6" s="20">
        <f>SUM(R6:Z6)</f>
        <v>4790</v>
      </c>
      <c r="AC6" s="21" t="s">
        <v>34</v>
      </c>
      <c r="AD6" s="22"/>
      <c r="AE6" s="23">
        <v>21000</v>
      </c>
      <c r="AF6" s="23">
        <v>28800</v>
      </c>
      <c r="AG6" s="23">
        <v>22400</v>
      </c>
      <c r="AH6" s="23">
        <v>31500</v>
      </c>
      <c r="AI6" s="23">
        <v>31200</v>
      </c>
      <c r="AJ6" s="23">
        <v>14000</v>
      </c>
      <c r="AK6" s="23">
        <v>42000</v>
      </c>
      <c r="AL6" s="23">
        <v>51200</v>
      </c>
      <c r="AM6" s="23">
        <v>49600</v>
      </c>
      <c r="AO6" s="250" t="s">
        <v>35</v>
      </c>
      <c r="AP6" s="250"/>
      <c r="AQ6" s="199">
        <v>49770</v>
      </c>
      <c r="AR6" s="199">
        <v>1500</v>
      </c>
      <c r="AS6" s="199">
        <v>28350</v>
      </c>
      <c r="AT6" s="199">
        <v>9055</v>
      </c>
      <c r="AU6" s="199">
        <v>287</v>
      </c>
      <c r="AV6" s="199">
        <v>7995</v>
      </c>
      <c r="AW6" s="199">
        <v>0</v>
      </c>
      <c r="AX6" s="199">
        <v>287</v>
      </c>
      <c r="AY6" s="199">
        <v>0</v>
      </c>
      <c r="AZ6" s="199">
        <v>2296</v>
      </c>
      <c r="BD6" s="203"/>
      <c r="BE6" s="203"/>
      <c r="BF6" s="206"/>
      <c r="BG6" s="208"/>
      <c r="BH6" s="222"/>
      <c r="BI6" s="162"/>
      <c r="BJ6" s="99"/>
      <c r="BK6" s="108"/>
    </row>
    <row r="7" spans="1:63" x14ac:dyDescent="0.2">
      <c r="A7" s="223" t="s">
        <v>36</v>
      </c>
      <c r="B7" s="223"/>
      <c r="C7" s="224">
        <v>600</v>
      </c>
      <c r="D7" s="224"/>
      <c r="G7" s="274"/>
      <c r="H7" s="241" t="s">
        <v>37</v>
      </c>
      <c r="I7" s="211" t="s">
        <v>26</v>
      </c>
      <c r="J7" s="245" t="s">
        <v>38</v>
      </c>
      <c r="K7" s="245"/>
      <c r="L7" s="245"/>
      <c r="M7" s="245"/>
      <c r="N7" s="245"/>
      <c r="O7" s="251" t="s">
        <v>39</v>
      </c>
      <c r="P7" s="11"/>
      <c r="Q7" s="15" t="s">
        <v>40</v>
      </c>
      <c r="R7" s="24">
        <v>0</v>
      </c>
      <c r="S7" s="25">
        <v>0</v>
      </c>
      <c r="T7" s="24">
        <v>7500</v>
      </c>
      <c r="U7" s="26">
        <v>375</v>
      </c>
      <c r="V7" s="26">
        <v>2500</v>
      </c>
      <c r="W7" s="25">
        <v>0</v>
      </c>
      <c r="X7" s="24">
        <v>525</v>
      </c>
      <c r="Y7" s="26">
        <v>0</v>
      </c>
      <c r="Z7" s="25">
        <v>800</v>
      </c>
      <c r="AA7" s="27">
        <f>SUM(R7:Z7)</f>
        <v>11700</v>
      </c>
      <c r="AC7" s="21" t="s">
        <v>41</v>
      </c>
      <c r="AE7" s="23">
        <v>6930</v>
      </c>
      <c r="AF7" s="23">
        <v>9504</v>
      </c>
      <c r="AG7" s="23">
        <v>7392</v>
      </c>
      <c r="AH7" s="23">
        <v>10395</v>
      </c>
      <c r="AI7" s="23">
        <v>10296</v>
      </c>
      <c r="AJ7" s="23">
        <v>4620</v>
      </c>
      <c r="AK7" s="23">
        <v>13860</v>
      </c>
      <c r="AL7" s="23">
        <v>16896</v>
      </c>
      <c r="AM7" s="23">
        <v>16368</v>
      </c>
      <c r="AO7" s="250"/>
      <c r="AP7" s="250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D7" s="203"/>
      <c r="BE7" s="203"/>
      <c r="BF7" s="209" t="s">
        <v>37</v>
      </c>
      <c r="BG7" s="211" t="s">
        <v>26</v>
      </c>
      <c r="BH7" s="159" t="s">
        <v>187</v>
      </c>
      <c r="BI7" s="161">
        <f>AU20</f>
        <v>436965</v>
      </c>
      <c r="BJ7" s="100"/>
      <c r="BK7" s="109"/>
    </row>
    <row r="8" spans="1:63" x14ac:dyDescent="0.2">
      <c r="A8" s="223"/>
      <c r="B8" s="223"/>
      <c r="C8" s="254">
        <f>C7*2</f>
        <v>1200</v>
      </c>
      <c r="D8" s="254"/>
      <c r="G8" s="274"/>
      <c r="H8" s="243"/>
      <c r="I8" s="212"/>
      <c r="J8" s="246"/>
      <c r="K8" s="246"/>
      <c r="L8" s="246"/>
      <c r="M8" s="246"/>
      <c r="N8" s="246"/>
      <c r="O8" s="252"/>
      <c r="P8" s="11"/>
      <c r="Q8" s="255" t="s">
        <v>42</v>
      </c>
      <c r="R8" s="257"/>
      <c r="S8" s="269"/>
      <c r="T8" s="257"/>
      <c r="U8" s="259">
        <v>135000</v>
      </c>
      <c r="V8" s="259">
        <v>80000</v>
      </c>
      <c r="W8" s="261"/>
      <c r="X8" s="271"/>
      <c r="Y8" s="259"/>
      <c r="Z8" s="261"/>
      <c r="AA8" s="263">
        <f>SUM(R8:Z8)</f>
        <v>215000</v>
      </c>
      <c r="AC8" s="21" t="s">
        <v>43</v>
      </c>
      <c r="AE8" s="23">
        <v>346.5</v>
      </c>
      <c r="AF8" s="23">
        <v>475.20000000000005</v>
      </c>
      <c r="AG8" s="23">
        <v>1108.8</v>
      </c>
      <c r="AH8" s="23">
        <v>935.55</v>
      </c>
      <c r="AI8" s="23">
        <v>1235.52</v>
      </c>
      <c r="AJ8" s="23">
        <v>924</v>
      </c>
      <c r="AK8" s="23">
        <v>693</v>
      </c>
      <c r="AL8" s="23">
        <v>0</v>
      </c>
      <c r="AM8" s="23">
        <v>1473.12</v>
      </c>
      <c r="AO8" s="225" t="s">
        <v>44</v>
      </c>
      <c r="AP8" s="225"/>
      <c r="AQ8" s="28">
        <v>1830840</v>
      </c>
      <c r="AR8" s="28">
        <v>35637.779658709274</v>
      </c>
      <c r="AS8" s="28">
        <v>18952.273395661246</v>
      </c>
      <c r="AT8" s="28">
        <v>702328.97839702293</v>
      </c>
      <c r="AU8" s="28">
        <v>172288.02496142325</v>
      </c>
      <c r="AV8" s="28">
        <v>469255.32182082237</v>
      </c>
      <c r="AW8" s="28">
        <v>45997.55305437051</v>
      </c>
      <c r="AX8" s="28">
        <v>233598.77652718525</v>
      </c>
      <c r="AY8" s="28">
        <v>10803.757828810019</v>
      </c>
      <c r="AZ8" s="28">
        <v>141977.53435599527</v>
      </c>
      <c r="BD8" s="203"/>
      <c r="BE8" s="203"/>
      <c r="BF8" s="210"/>
      <c r="BG8" s="212"/>
      <c r="BH8" s="167"/>
      <c r="BI8" s="169"/>
      <c r="BJ8" s="102"/>
      <c r="BK8" s="110"/>
    </row>
    <row r="9" spans="1:63" x14ac:dyDescent="0.2">
      <c r="A9" s="223" t="s">
        <v>45</v>
      </c>
      <c r="B9" s="223"/>
      <c r="C9" s="224">
        <v>500</v>
      </c>
      <c r="D9" s="224"/>
      <c r="G9" s="274"/>
      <c r="H9" s="243"/>
      <c r="I9" s="212"/>
      <c r="J9" s="246"/>
      <c r="K9" s="246"/>
      <c r="L9" s="246"/>
      <c r="M9" s="246"/>
      <c r="N9" s="246"/>
      <c r="O9" s="252"/>
      <c r="P9" s="11"/>
      <c r="Q9" s="256"/>
      <c r="R9" s="258"/>
      <c r="S9" s="270"/>
      <c r="T9" s="258"/>
      <c r="U9" s="260"/>
      <c r="V9" s="260"/>
      <c r="W9" s="262"/>
      <c r="X9" s="272"/>
      <c r="Y9" s="260"/>
      <c r="Z9" s="262"/>
      <c r="AA9" s="264"/>
      <c r="AC9" s="21" t="s">
        <v>46</v>
      </c>
      <c r="AE9" s="23">
        <v>650</v>
      </c>
      <c r="AF9" s="23">
        <v>650</v>
      </c>
      <c r="AG9" s="23">
        <v>650</v>
      </c>
      <c r="AH9" s="23">
        <v>650</v>
      </c>
      <c r="AI9" s="23">
        <v>650</v>
      </c>
      <c r="AJ9" s="23">
        <v>650</v>
      </c>
      <c r="AK9" s="23">
        <v>650</v>
      </c>
      <c r="AL9" s="23">
        <v>0</v>
      </c>
      <c r="AM9" s="23">
        <v>650</v>
      </c>
      <c r="AO9" s="225" t="s">
        <v>47</v>
      </c>
      <c r="AP9" s="225"/>
      <c r="AQ9" s="28">
        <v>26499.999999999996</v>
      </c>
      <c r="AR9" s="28">
        <v>0</v>
      </c>
      <c r="AS9" s="28">
        <v>0</v>
      </c>
      <c r="AT9" s="28">
        <v>24466.700666514251</v>
      </c>
      <c r="AU9" s="28">
        <v>176.16024479890262</v>
      </c>
      <c r="AV9" s="28">
        <v>1468.0020399908551</v>
      </c>
      <c r="AW9" s="28">
        <v>389.13704869598865</v>
      </c>
      <c r="AX9" s="28">
        <v>0</v>
      </c>
      <c r="AY9" s="28">
        <v>0</v>
      </c>
      <c r="AZ9" s="28">
        <v>0</v>
      </c>
      <c r="BD9" s="203"/>
      <c r="BE9" s="203"/>
      <c r="BF9" s="210"/>
      <c r="BG9" s="212"/>
      <c r="BH9" s="167"/>
      <c r="BI9" s="169"/>
      <c r="BJ9" s="102"/>
      <c r="BK9" s="110"/>
    </row>
    <row r="10" spans="1:63" x14ac:dyDescent="0.2">
      <c r="A10" s="223"/>
      <c r="B10" s="223"/>
      <c r="C10" s="254">
        <f>C9*2</f>
        <v>1000</v>
      </c>
      <c r="D10" s="254"/>
      <c r="G10" s="274"/>
      <c r="H10" s="244"/>
      <c r="I10" s="213"/>
      <c r="J10" s="247"/>
      <c r="K10" s="247"/>
      <c r="L10" s="247"/>
      <c r="M10" s="247"/>
      <c r="N10" s="247"/>
      <c r="O10" s="253"/>
      <c r="P10" s="11"/>
      <c r="Q10" s="29" t="s">
        <v>48</v>
      </c>
      <c r="R10" s="30">
        <v>0.05</v>
      </c>
      <c r="S10" s="31"/>
      <c r="T10" s="30">
        <v>0.7</v>
      </c>
      <c r="U10" s="32"/>
      <c r="V10" s="32">
        <v>0.25</v>
      </c>
      <c r="W10" s="31"/>
      <c r="X10" s="30"/>
      <c r="Y10" s="32"/>
      <c r="Z10" s="31"/>
      <c r="AA10" s="33">
        <f>SUM(R10:Z10)</f>
        <v>1</v>
      </c>
      <c r="AC10" s="21" t="s">
        <v>49</v>
      </c>
      <c r="AE10" s="34">
        <v>653.67500000000007</v>
      </c>
      <c r="AF10" s="34">
        <v>908.54</v>
      </c>
      <c r="AG10" s="34">
        <v>662.46</v>
      </c>
      <c r="AH10" s="34">
        <v>975.97250000000008</v>
      </c>
      <c r="AI10" s="34">
        <v>950.92399999999998</v>
      </c>
      <c r="AJ10" s="34">
        <v>390.3</v>
      </c>
      <c r="AK10" s="34">
        <v>1339.8500000000001</v>
      </c>
      <c r="AL10" s="34">
        <v>0</v>
      </c>
      <c r="AM10" s="34">
        <v>1555.4440000000002</v>
      </c>
      <c r="AO10" s="225" t="s">
        <v>50</v>
      </c>
      <c r="AP10" s="225"/>
      <c r="AQ10" s="28">
        <v>2568651.193</v>
      </c>
      <c r="AR10" s="28">
        <v>57860.35</v>
      </c>
      <c r="AS10" s="28">
        <v>79375.48</v>
      </c>
      <c r="AT10" s="28">
        <v>1010024.32</v>
      </c>
      <c r="AU10" s="28">
        <v>262839.13500000001</v>
      </c>
      <c r="AV10" s="28">
        <v>611554.21600000001</v>
      </c>
      <c r="AW10" s="28">
        <v>19934.3</v>
      </c>
      <c r="AX10" s="28">
        <v>115785.7</v>
      </c>
      <c r="AY10" s="28">
        <v>204288</v>
      </c>
      <c r="AZ10" s="28">
        <v>206989.69199999998</v>
      </c>
      <c r="BD10" s="203"/>
      <c r="BE10" s="203"/>
      <c r="BF10" s="206"/>
      <c r="BG10" s="213"/>
      <c r="BH10" s="160"/>
      <c r="BI10" s="162"/>
      <c r="BJ10" s="101"/>
      <c r="BK10" s="111"/>
    </row>
    <row r="11" spans="1:63" x14ac:dyDescent="0.2">
      <c r="A11" s="35" t="s">
        <v>51</v>
      </c>
      <c r="G11" s="274"/>
      <c r="H11" s="241" t="s">
        <v>52</v>
      </c>
      <c r="I11" s="211" t="s">
        <v>27</v>
      </c>
      <c r="J11" s="245" t="s">
        <v>53</v>
      </c>
      <c r="K11" s="245"/>
      <c r="L11" s="245"/>
      <c r="M11" s="245"/>
      <c r="N11" s="245"/>
      <c r="O11" s="251" t="s">
        <v>54</v>
      </c>
      <c r="P11" s="11"/>
      <c r="Q11" s="15" t="s">
        <v>55</v>
      </c>
      <c r="R11" s="36">
        <v>1500</v>
      </c>
      <c r="S11" s="37">
        <v>1500</v>
      </c>
      <c r="T11" s="36">
        <v>35000</v>
      </c>
      <c r="U11" s="38">
        <v>1500</v>
      </c>
      <c r="V11" s="38">
        <v>12000</v>
      </c>
      <c r="W11" s="37">
        <v>3000</v>
      </c>
      <c r="X11" s="36">
        <v>1500</v>
      </c>
      <c r="Y11" s="38">
        <v>0</v>
      </c>
      <c r="Z11" s="37">
        <v>1500</v>
      </c>
      <c r="AA11" s="39">
        <f>SUM(R11:Z11)</f>
        <v>57500</v>
      </c>
      <c r="AC11" s="292" t="s">
        <v>56</v>
      </c>
      <c r="AD11" s="292"/>
      <c r="AE11" s="40">
        <v>29580.174999999999</v>
      </c>
      <c r="AF11" s="40">
        <v>40337.74</v>
      </c>
      <c r="AG11" s="40">
        <v>32213.26</v>
      </c>
      <c r="AH11" s="40">
        <v>44456.522500000006</v>
      </c>
      <c r="AI11" s="40">
        <v>44332.443999999996</v>
      </c>
      <c r="AJ11" s="40">
        <v>20584.3</v>
      </c>
      <c r="AK11" s="40">
        <v>58542.85</v>
      </c>
      <c r="AL11" s="40">
        <v>68096</v>
      </c>
      <c r="AM11" s="40">
        <v>69646.563999999998</v>
      </c>
      <c r="AO11" s="225" t="s">
        <v>57</v>
      </c>
      <c r="AP11" s="225"/>
      <c r="AQ11" s="28">
        <v>51176.7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8">
        <v>0</v>
      </c>
      <c r="AX11" s="28">
        <v>51176.7</v>
      </c>
      <c r="AY11" s="28">
        <v>0</v>
      </c>
      <c r="AZ11" s="28">
        <v>0</v>
      </c>
      <c r="BD11" s="203"/>
      <c r="BE11" s="203"/>
      <c r="BF11" s="209" t="s">
        <v>52</v>
      </c>
      <c r="BG11" s="211" t="s">
        <v>27</v>
      </c>
      <c r="BH11" s="159" t="s">
        <v>188</v>
      </c>
      <c r="BI11" s="161">
        <f>AV20</f>
        <v>1092172</v>
      </c>
      <c r="BJ11" s="190"/>
      <c r="BK11" s="193"/>
    </row>
    <row r="12" spans="1:63" x14ac:dyDescent="0.2">
      <c r="A12" s="223" t="s">
        <v>58</v>
      </c>
      <c r="B12" s="223"/>
      <c r="C12" s="224">
        <f>C9*315</f>
        <v>157500</v>
      </c>
      <c r="D12" s="224"/>
      <c r="G12" s="274"/>
      <c r="H12" s="243"/>
      <c r="I12" s="212"/>
      <c r="J12" s="246"/>
      <c r="K12" s="246"/>
      <c r="L12" s="246"/>
      <c r="M12" s="246"/>
      <c r="N12" s="246"/>
      <c r="O12" s="252"/>
      <c r="P12" s="11"/>
      <c r="Q12" s="15" t="s">
        <v>59</v>
      </c>
      <c r="R12" s="24">
        <v>300</v>
      </c>
      <c r="S12" s="25"/>
      <c r="T12" s="24">
        <v>14500</v>
      </c>
      <c r="U12" s="26">
        <v>12500</v>
      </c>
      <c r="V12" s="26">
        <v>12000</v>
      </c>
      <c r="W12" s="25">
        <v>0</v>
      </c>
      <c r="X12" s="24">
        <v>10000</v>
      </c>
      <c r="Y12" s="26">
        <v>0</v>
      </c>
      <c r="Z12" s="25">
        <v>10000</v>
      </c>
      <c r="AA12" s="27">
        <f>SUM(R12:Z12)</f>
        <v>59300</v>
      </c>
      <c r="AC12" s="240" t="s">
        <v>60</v>
      </c>
      <c r="AD12" s="240"/>
      <c r="AE12" s="41">
        <v>206</v>
      </c>
      <c r="AF12" s="41">
        <v>206</v>
      </c>
      <c r="AG12" s="41">
        <v>206</v>
      </c>
      <c r="AH12" s="41">
        <v>206</v>
      </c>
      <c r="AI12" s="41">
        <v>206</v>
      </c>
      <c r="AJ12" s="41">
        <v>206</v>
      </c>
      <c r="AK12" s="41">
        <v>206</v>
      </c>
      <c r="AL12" s="41">
        <v>206</v>
      </c>
      <c r="AM12" s="41">
        <v>206</v>
      </c>
      <c r="AO12" s="225" t="s">
        <v>61</v>
      </c>
      <c r="AP12" s="225"/>
      <c r="AQ12" s="28">
        <v>12630</v>
      </c>
      <c r="AR12" s="28">
        <v>125</v>
      </c>
      <c r="AS12" s="28">
        <v>115</v>
      </c>
      <c r="AT12" s="28">
        <v>7500</v>
      </c>
      <c r="AU12" s="28">
        <v>1375</v>
      </c>
      <c r="AV12" s="28">
        <v>1900</v>
      </c>
      <c r="AW12" s="28">
        <v>790</v>
      </c>
      <c r="AX12" s="28">
        <v>350</v>
      </c>
      <c r="AY12" s="28">
        <v>0</v>
      </c>
      <c r="AZ12" s="28">
        <v>475</v>
      </c>
      <c r="BD12" s="203"/>
      <c r="BE12" s="203"/>
      <c r="BF12" s="210"/>
      <c r="BG12" s="212"/>
      <c r="BH12" s="167"/>
      <c r="BI12" s="169"/>
      <c r="BJ12" s="191"/>
      <c r="BK12" s="194"/>
    </row>
    <row r="13" spans="1:63" ht="13.5" x14ac:dyDescent="0.2">
      <c r="A13" s="178" t="s">
        <v>62</v>
      </c>
      <c r="B13" s="178"/>
      <c r="C13" s="254">
        <f>C12*2</f>
        <v>315000</v>
      </c>
      <c r="D13" s="254"/>
      <c r="G13" s="274"/>
      <c r="H13" s="243"/>
      <c r="I13" s="212"/>
      <c r="J13" s="246"/>
      <c r="K13" s="246"/>
      <c r="L13" s="246"/>
      <c r="M13" s="246"/>
      <c r="N13" s="246"/>
      <c r="O13" s="252"/>
      <c r="P13" s="11"/>
      <c r="Q13" s="15" t="s">
        <v>63</v>
      </c>
      <c r="R13" s="24">
        <v>350</v>
      </c>
      <c r="S13" s="25">
        <v>400</v>
      </c>
      <c r="T13" s="24">
        <v>1500</v>
      </c>
      <c r="U13" s="26">
        <v>2750</v>
      </c>
      <c r="V13" s="26">
        <v>1550</v>
      </c>
      <c r="W13" s="25">
        <v>250</v>
      </c>
      <c r="X13" s="24">
        <v>5200</v>
      </c>
      <c r="Y13" s="26">
        <v>0</v>
      </c>
      <c r="Z13" s="25">
        <v>2500</v>
      </c>
      <c r="AA13" s="27">
        <f>SUM(R13:Z13)</f>
        <v>14500</v>
      </c>
      <c r="AC13" s="240" t="s">
        <v>64</v>
      </c>
      <c r="AD13" s="240"/>
      <c r="AE13" s="42">
        <v>1648</v>
      </c>
      <c r="AF13" s="42">
        <v>1648</v>
      </c>
      <c r="AG13" s="42">
        <v>1648</v>
      </c>
      <c r="AH13" s="42">
        <v>1648</v>
      </c>
      <c r="AI13" s="42">
        <v>1648</v>
      </c>
      <c r="AJ13" s="42">
        <v>1648</v>
      </c>
      <c r="AK13" s="42">
        <v>1648</v>
      </c>
      <c r="AL13" s="42">
        <v>1648</v>
      </c>
      <c r="AM13" s="42">
        <v>1648</v>
      </c>
      <c r="AO13" s="291" t="s">
        <v>65</v>
      </c>
      <c r="AP13" s="291"/>
      <c r="AQ13" s="43">
        <f>SUM(AR13:AZ13)</f>
        <v>4539567.8929999992</v>
      </c>
      <c r="AR13" s="43">
        <f t="shared" ref="AR13:AZ13" si="0">AR12+AR11+AR10+AR9+AR8+AR6</f>
        <v>95123.12965870928</v>
      </c>
      <c r="AS13" s="43">
        <f t="shared" si="0"/>
        <v>126792.75339566125</v>
      </c>
      <c r="AT13" s="43">
        <f t="shared" si="0"/>
        <v>1753374.999063537</v>
      </c>
      <c r="AU13" s="43">
        <f t="shared" si="0"/>
        <v>436965.32020622218</v>
      </c>
      <c r="AV13" s="43">
        <f t="shared" si="0"/>
        <v>1092172.5398608132</v>
      </c>
      <c r="AW13" s="43">
        <f t="shared" si="0"/>
        <v>67110.990103066491</v>
      </c>
      <c r="AX13" s="43">
        <f t="shared" si="0"/>
        <v>401198.17652718525</v>
      </c>
      <c r="AY13" s="43">
        <f t="shared" si="0"/>
        <v>215091.75782881002</v>
      </c>
      <c r="AZ13" s="43">
        <f t="shared" si="0"/>
        <v>351738.22635599528</v>
      </c>
      <c r="BD13" s="203"/>
      <c r="BE13" s="203"/>
      <c r="BF13" s="210"/>
      <c r="BG13" s="212"/>
      <c r="BH13" s="167"/>
      <c r="BI13" s="169"/>
      <c r="BJ13" s="191"/>
      <c r="BK13" s="194"/>
    </row>
    <row r="14" spans="1:63" x14ac:dyDescent="0.2">
      <c r="G14" s="274"/>
      <c r="H14" s="244"/>
      <c r="I14" s="213"/>
      <c r="J14" s="247"/>
      <c r="K14" s="247"/>
      <c r="L14" s="247"/>
      <c r="M14" s="247"/>
      <c r="N14" s="247"/>
      <c r="O14" s="253"/>
      <c r="P14" s="11"/>
      <c r="Q14" s="293" t="s">
        <v>66</v>
      </c>
      <c r="R14" s="283">
        <v>2</v>
      </c>
      <c r="S14" s="281">
        <v>2</v>
      </c>
      <c r="T14" s="283">
        <v>32</v>
      </c>
      <c r="U14" s="279">
        <v>6</v>
      </c>
      <c r="V14" s="279">
        <v>14</v>
      </c>
      <c r="W14" s="281">
        <v>1</v>
      </c>
      <c r="X14" s="283">
        <v>2</v>
      </c>
      <c r="Y14" s="279">
        <v>3</v>
      </c>
      <c r="Z14" s="281">
        <v>3</v>
      </c>
      <c r="AA14" s="295">
        <f>SUM(R14:Z14)</f>
        <v>65</v>
      </c>
      <c r="AB14" s="44"/>
      <c r="AC14" s="240" t="s">
        <v>67</v>
      </c>
      <c r="AD14" s="240"/>
      <c r="AE14" s="42">
        <v>1442</v>
      </c>
      <c r="AF14" s="42">
        <v>1442</v>
      </c>
      <c r="AG14" s="42">
        <v>1442</v>
      </c>
      <c r="AH14" s="42">
        <v>1442</v>
      </c>
      <c r="AI14" s="42">
        <v>1442</v>
      </c>
      <c r="AJ14" s="42">
        <v>1442</v>
      </c>
      <c r="AK14" s="42">
        <v>1442</v>
      </c>
      <c r="AL14" s="42">
        <v>1442</v>
      </c>
      <c r="AM14" s="42">
        <v>1442</v>
      </c>
      <c r="AO14" s="265" t="str">
        <f>AR5</f>
        <v>CON</v>
      </c>
      <c r="AP14" s="266" t="s">
        <v>68</v>
      </c>
      <c r="AQ14" s="18">
        <v>4670</v>
      </c>
      <c r="AR14" s="18"/>
      <c r="AS14" s="18">
        <v>80</v>
      </c>
      <c r="AT14" s="18">
        <v>2500</v>
      </c>
      <c r="AU14" s="18">
        <v>90</v>
      </c>
      <c r="AV14" s="18">
        <v>1500</v>
      </c>
      <c r="AW14" s="18">
        <v>200</v>
      </c>
      <c r="AX14" s="18">
        <v>100</v>
      </c>
      <c r="AY14" s="18">
        <v>50</v>
      </c>
      <c r="AZ14" s="18">
        <v>150</v>
      </c>
      <c r="BD14" s="203"/>
      <c r="BE14" s="203"/>
      <c r="BF14" s="206"/>
      <c r="BG14" s="213"/>
      <c r="BH14" s="160"/>
      <c r="BI14" s="162"/>
      <c r="BJ14" s="192"/>
      <c r="BK14" s="195"/>
    </row>
    <row r="15" spans="1:63" x14ac:dyDescent="0.2">
      <c r="G15" s="274"/>
      <c r="H15" s="241" t="s">
        <v>70</v>
      </c>
      <c r="I15" s="211" t="s">
        <v>28</v>
      </c>
      <c r="J15" s="245" t="s">
        <v>71</v>
      </c>
      <c r="K15" s="245"/>
      <c r="L15" s="245"/>
      <c r="M15" s="245"/>
      <c r="N15" s="245"/>
      <c r="O15" s="251" t="s">
        <v>72</v>
      </c>
      <c r="P15" s="11"/>
      <c r="Q15" s="294"/>
      <c r="R15" s="284"/>
      <c r="S15" s="282"/>
      <c r="T15" s="284"/>
      <c r="U15" s="280"/>
      <c r="V15" s="280"/>
      <c r="W15" s="282"/>
      <c r="X15" s="284"/>
      <c r="Y15" s="280"/>
      <c r="Z15" s="282"/>
      <c r="AA15" s="296"/>
      <c r="AC15" s="240" t="s">
        <v>73</v>
      </c>
      <c r="AD15" s="240"/>
      <c r="AE15" s="45">
        <v>17.949135315533979</v>
      </c>
      <c r="AF15" s="45">
        <v>24.476783980582525</v>
      </c>
      <c r="AG15" s="45">
        <v>19.546881067961163</v>
      </c>
      <c r="AH15" s="45">
        <v>26.976045206310683</v>
      </c>
      <c r="AI15" s="45">
        <v>26.90075485436893</v>
      </c>
      <c r="AJ15" s="45">
        <v>12.490473300970873</v>
      </c>
      <c r="AK15" s="45">
        <v>35.523574029126216</v>
      </c>
      <c r="AL15" s="45">
        <v>41.320388349514566</v>
      </c>
      <c r="AM15" s="45">
        <v>42.261264563106792</v>
      </c>
      <c r="AO15" s="265"/>
      <c r="AP15" s="266"/>
      <c r="AQ15" s="46">
        <v>1</v>
      </c>
      <c r="AR15" s="47">
        <v>0</v>
      </c>
      <c r="AS15" s="47">
        <v>1.7130620985010708E-2</v>
      </c>
      <c r="AT15" s="47">
        <v>0.53533190578158463</v>
      </c>
      <c r="AU15" s="47">
        <v>1.9271948608137045E-2</v>
      </c>
      <c r="AV15" s="47">
        <v>0.32119914346895073</v>
      </c>
      <c r="AW15" s="47">
        <v>4.2826552462526764E-2</v>
      </c>
      <c r="AX15" s="47">
        <v>2.1413276231263382E-2</v>
      </c>
      <c r="AY15" s="47">
        <v>1.0706638115631691E-2</v>
      </c>
      <c r="AZ15" s="47">
        <v>3.2119914346895075E-2</v>
      </c>
      <c r="BD15" s="203"/>
      <c r="BE15" s="203"/>
      <c r="BF15" s="209" t="s">
        <v>70</v>
      </c>
      <c r="BG15" s="211" t="s">
        <v>28</v>
      </c>
      <c r="BH15" s="159" t="s">
        <v>193</v>
      </c>
      <c r="BI15" s="161">
        <f>AW20</f>
        <v>67110</v>
      </c>
      <c r="BJ15" s="163"/>
      <c r="BK15" s="165"/>
    </row>
    <row r="16" spans="1:63" ht="13.5" thickBot="1" x14ac:dyDescent="0.25">
      <c r="A16" s="5" t="s">
        <v>154</v>
      </c>
      <c r="B16" s="5"/>
      <c r="G16" s="275"/>
      <c r="H16" s="242"/>
      <c r="I16" s="215"/>
      <c r="J16" s="267"/>
      <c r="K16" s="267"/>
      <c r="L16" s="267"/>
      <c r="M16" s="267"/>
      <c r="N16" s="267"/>
      <c r="O16" s="268"/>
      <c r="P16" s="11"/>
      <c r="AC16" s="240" t="s">
        <v>75</v>
      </c>
      <c r="AD16" s="240"/>
      <c r="AE16" s="45">
        <v>20.513297503467406</v>
      </c>
      <c r="AF16" s="45">
        <v>27.973467406380028</v>
      </c>
      <c r="AG16" s="45">
        <v>22.339292649098475</v>
      </c>
      <c r="AH16" s="45">
        <v>30.829765950069351</v>
      </c>
      <c r="AI16" s="45">
        <v>30.743719833564491</v>
      </c>
      <c r="AJ16" s="45">
        <v>14.274826629680998</v>
      </c>
      <c r="AK16" s="45">
        <v>40.598370319001383</v>
      </c>
      <c r="AL16" s="45">
        <v>47.223300970873787</v>
      </c>
      <c r="AM16" s="45">
        <v>48.298588072122051</v>
      </c>
      <c r="AO16" s="265"/>
      <c r="AP16" s="266"/>
      <c r="AQ16" s="48">
        <f>AR13</f>
        <v>95123.12965870928</v>
      </c>
      <c r="AR16" s="48">
        <f>-AQ16</f>
        <v>-95123.12965870928</v>
      </c>
      <c r="AS16" s="48">
        <f>AS15*$E$17</f>
        <v>0</v>
      </c>
      <c r="AT16" s="48">
        <f t="shared" ref="AT16:AZ16" si="1">AT15*$E$17</f>
        <v>0</v>
      </c>
      <c r="AU16" s="48">
        <f t="shared" si="1"/>
        <v>0</v>
      </c>
      <c r="AV16" s="48">
        <f t="shared" si="1"/>
        <v>0</v>
      </c>
      <c r="AW16" s="48">
        <f t="shared" si="1"/>
        <v>0</v>
      </c>
      <c r="AX16" s="48">
        <f t="shared" si="1"/>
        <v>0</v>
      </c>
      <c r="AY16" s="48">
        <f t="shared" si="1"/>
        <v>0</v>
      </c>
      <c r="AZ16" s="48">
        <f t="shared" si="1"/>
        <v>0</v>
      </c>
      <c r="BD16" s="203"/>
      <c r="BE16" s="204"/>
      <c r="BF16" s="214"/>
      <c r="BG16" s="215"/>
      <c r="BH16" s="168"/>
      <c r="BI16" s="170"/>
      <c r="BJ16" s="172"/>
      <c r="BK16" s="196"/>
    </row>
    <row r="17" spans="1:66" x14ac:dyDescent="0.2">
      <c r="A17" s="306" t="s">
        <v>69</v>
      </c>
      <c r="B17" s="306"/>
      <c r="C17" s="306"/>
      <c r="D17" s="306"/>
      <c r="G17" s="273" t="s">
        <v>77</v>
      </c>
      <c r="H17" s="276" t="s">
        <v>78</v>
      </c>
      <c r="I17" s="207" t="s">
        <v>29</v>
      </c>
      <c r="J17" s="277" t="s">
        <v>79</v>
      </c>
      <c r="K17" s="277"/>
      <c r="L17" s="277"/>
      <c r="M17" s="277"/>
      <c r="N17" s="277"/>
      <c r="O17" s="278" t="s">
        <v>80</v>
      </c>
      <c r="P17" s="11"/>
      <c r="AC17" s="298" t="s">
        <v>81</v>
      </c>
      <c r="AD17" s="298"/>
      <c r="AE17" s="49">
        <v>2</v>
      </c>
      <c r="AF17" s="49">
        <v>2</v>
      </c>
      <c r="AG17" s="49">
        <v>32</v>
      </c>
      <c r="AH17" s="49">
        <v>6</v>
      </c>
      <c r="AI17" s="49">
        <v>14</v>
      </c>
      <c r="AJ17" s="49">
        <v>1</v>
      </c>
      <c r="AK17" s="49">
        <v>2</v>
      </c>
      <c r="AL17" s="49">
        <v>3</v>
      </c>
      <c r="AM17" s="49">
        <v>3</v>
      </c>
      <c r="AO17" s="265" t="str">
        <f>AS5</f>
        <v>STE</v>
      </c>
      <c r="AP17" s="266" t="s">
        <v>82</v>
      </c>
      <c r="AQ17" s="18">
        <v>4590</v>
      </c>
      <c r="AT17" s="18">
        <v>2500</v>
      </c>
      <c r="AU17" s="18">
        <v>90</v>
      </c>
      <c r="AV17" s="18">
        <v>1500</v>
      </c>
      <c r="AW17" s="18">
        <v>200</v>
      </c>
      <c r="AX17" s="18">
        <v>100</v>
      </c>
      <c r="AY17" s="18">
        <v>50</v>
      </c>
      <c r="AZ17" s="18">
        <v>150</v>
      </c>
      <c r="BD17" s="203"/>
      <c r="BE17" s="202" t="s">
        <v>198</v>
      </c>
      <c r="BF17" s="205" t="s">
        <v>78</v>
      </c>
      <c r="BG17" s="207" t="s">
        <v>29</v>
      </c>
      <c r="BH17" s="197" t="s">
        <v>195</v>
      </c>
      <c r="BI17" s="188">
        <f>AX20</f>
        <v>401198</v>
      </c>
      <c r="BJ17" s="198"/>
      <c r="BK17" s="183"/>
    </row>
    <row r="18" spans="1:66" ht="13.5" x14ac:dyDescent="0.25">
      <c r="A18" s="313" t="s">
        <v>74</v>
      </c>
      <c r="B18" s="314"/>
      <c r="C18" s="285">
        <f>C13*25</f>
        <v>7875000</v>
      </c>
      <c r="D18" s="286"/>
      <c r="G18" s="274"/>
      <c r="H18" s="243"/>
      <c r="I18" s="216"/>
      <c r="J18" s="246"/>
      <c r="K18" s="246"/>
      <c r="L18" s="246"/>
      <c r="M18" s="246"/>
      <c r="N18" s="246"/>
      <c r="O18" s="252"/>
      <c r="P18" s="11"/>
      <c r="Q18" s="311" t="s">
        <v>157</v>
      </c>
      <c r="R18" s="311"/>
      <c r="S18" s="311"/>
      <c r="T18" s="311"/>
      <c r="U18" s="311"/>
      <c r="V18" s="311"/>
      <c r="AC18" s="312" t="s">
        <v>84</v>
      </c>
      <c r="AD18" s="312"/>
      <c r="AO18" s="265"/>
      <c r="AP18" s="266"/>
      <c r="AQ18" s="46">
        <v>1.0000000000000002</v>
      </c>
      <c r="AR18" s="47">
        <v>0</v>
      </c>
      <c r="AS18" s="47">
        <v>0</v>
      </c>
      <c r="AT18" s="47">
        <v>0.54466230936819171</v>
      </c>
      <c r="AU18" s="47">
        <v>1.9607843137254902E-2</v>
      </c>
      <c r="AV18" s="47">
        <v>0.32679738562091504</v>
      </c>
      <c r="AW18" s="47">
        <v>4.357298474945534E-2</v>
      </c>
      <c r="AX18" s="47">
        <v>2.178649237472767E-2</v>
      </c>
      <c r="AY18" s="47">
        <v>1.0893246187363835E-2</v>
      </c>
      <c r="AZ18" s="47">
        <v>3.2679738562091505E-2</v>
      </c>
      <c r="BD18" s="203"/>
      <c r="BE18" s="203"/>
      <c r="BF18" s="210"/>
      <c r="BG18" s="216"/>
      <c r="BH18" s="167"/>
      <c r="BI18" s="169"/>
      <c r="BJ18" s="171"/>
      <c r="BK18" s="174"/>
    </row>
    <row r="19" spans="1:66" ht="13.5" x14ac:dyDescent="0.2">
      <c r="A19" s="287" t="s">
        <v>76</v>
      </c>
      <c r="B19" s="288"/>
      <c r="C19" s="289">
        <f>C20+C21+C22</f>
        <v>472500</v>
      </c>
      <c r="D19" s="290"/>
      <c r="G19" s="274"/>
      <c r="H19" s="244"/>
      <c r="I19" s="208"/>
      <c r="J19" s="247"/>
      <c r="K19" s="247"/>
      <c r="L19" s="247"/>
      <c r="M19" s="247"/>
      <c r="N19" s="247"/>
      <c r="O19" s="253"/>
      <c r="P19" s="11"/>
      <c r="Q19" s="311"/>
      <c r="R19" s="311"/>
      <c r="S19" s="311"/>
      <c r="T19" s="311"/>
      <c r="U19" s="311"/>
      <c r="V19" s="311"/>
      <c r="AC19" s="301" t="s">
        <v>86</v>
      </c>
      <c r="AD19" s="301"/>
      <c r="AE19" s="50">
        <v>42000</v>
      </c>
      <c r="AF19" s="50">
        <v>57600</v>
      </c>
      <c r="AG19" s="50">
        <v>716800</v>
      </c>
      <c r="AH19" s="50">
        <v>189000</v>
      </c>
      <c r="AI19" s="50">
        <v>436800</v>
      </c>
      <c r="AJ19" s="50">
        <v>14000</v>
      </c>
      <c r="AK19" s="50">
        <v>84000</v>
      </c>
      <c r="AL19" s="50">
        <v>153600</v>
      </c>
      <c r="AM19" s="50">
        <v>148800</v>
      </c>
      <c r="AO19" s="265"/>
      <c r="AP19" s="266"/>
      <c r="AQ19" s="48">
        <f>AS13+AS16</f>
        <v>126792.75339566125</v>
      </c>
      <c r="AS19" s="48">
        <f>-AQ19</f>
        <v>-126792.75339566125</v>
      </c>
      <c r="AT19" s="48">
        <f>AT18*$E$20</f>
        <v>0</v>
      </c>
      <c r="AU19" s="48">
        <f t="shared" ref="AU19:AZ19" si="2">AU18*$E$20</f>
        <v>0</v>
      </c>
      <c r="AV19" s="48">
        <f t="shared" si="2"/>
        <v>0</v>
      </c>
      <c r="AW19" s="48">
        <f t="shared" si="2"/>
        <v>0</v>
      </c>
      <c r="AX19" s="48">
        <f t="shared" si="2"/>
        <v>0</v>
      </c>
      <c r="AY19" s="48">
        <f t="shared" si="2"/>
        <v>0</v>
      </c>
      <c r="AZ19" s="48">
        <f t="shared" si="2"/>
        <v>0</v>
      </c>
      <c r="BD19" s="203"/>
      <c r="BE19" s="203"/>
      <c r="BF19" s="206"/>
      <c r="BG19" s="208"/>
      <c r="BH19" s="160"/>
      <c r="BI19" s="162"/>
      <c r="BJ19" s="164"/>
      <c r="BK19" s="184"/>
    </row>
    <row r="20" spans="1:66" ht="13.5" x14ac:dyDescent="0.2">
      <c r="A20" s="297" t="s">
        <v>83</v>
      </c>
      <c r="B20" s="298"/>
      <c r="C20" s="309">
        <f>C13*0.75</f>
        <v>236250</v>
      </c>
      <c r="D20" s="310"/>
      <c r="G20" s="274"/>
      <c r="H20" s="241" t="s">
        <v>88</v>
      </c>
      <c r="I20" s="211" t="s">
        <v>30</v>
      </c>
      <c r="J20" s="245" t="s">
        <v>89</v>
      </c>
      <c r="K20" s="245"/>
      <c r="L20" s="245"/>
      <c r="M20" s="245"/>
      <c r="N20" s="245"/>
      <c r="O20" s="251" t="s">
        <v>90</v>
      </c>
      <c r="P20" s="11"/>
      <c r="R20" s="293" t="s">
        <v>91</v>
      </c>
      <c r="S20" s="293" t="s">
        <v>92</v>
      </c>
      <c r="T20" s="293" t="s">
        <v>93</v>
      </c>
      <c r="U20" s="293" t="s">
        <v>94</v>
      </c>
      <c r="V20" s="293" t="s">
        <v>95</v>
      </c>
      <c r="AC20" s="301" t="s">
        <v>96</v>
      </c>
      <c r="AD20" s="301"/>
      <c r="AE20" s="50">
        <v>693</v>
      </c>
      <c r="AF20" s="50">
        <v>950.40000000000009</v>
      </c>
      <c r="AG20" s="50">
        <v>35481.599999999999</v>
      </c>
      <c r="AH20" s="50">
        <v>5613.2999999999993</v>
      </c>
      <c r="AI20" s="50">
        <v>17297.28</v>
      </c>
      <c r="AJ20" s="50">
        <v>924</v>
      </c>
      <c r="AK20" s="50">
        <v>1386</v>
      </c>
      <c r="AL20" s="50">
        <v>0</v>
      </c>
      <c r="AM20" s="50">
        <v>4419.3599999999997</v>
      </c>
      <c r="AO20" s="291" t="s">
        <v>97</v>
      </c>
      <c r="AP20" s="291"/>
      <c r="AQ20" s="131">
        <f>SUM(AR20:AZ20)</f>
        <v>4317648</v>
      </c>
      <c r="AR20" s="43">
        <f>AR13+AR16+AR19</f>
        <v>0</v>
      </c>
      <c r="AS20" s="43">
        <f t="shared" ref="AS20" si="3">AS13+AS16+AS19</f>
        <v>0</v>
      </c>
      <c r="AT20" s="43">
        <f t="shared" ref="AT20:AZ20" si="4">INT(AT13+AT16+AT19)</f>
        <v>1753374</v>
      </c>
      <c r="AU20" s="43">
        <f t="shared" si="4"/>
        <v>436965</v>
      </c>
      <c r="AV20" s="43">
        <f t="shared" si="4"/>
        <v>1092172</v>
      </c>
      <c r="AW20" s="43">
        <f t="shared" si="4"/>
        <v>67110</v>
      </c>
      <c r="AX20" s="43">
        <f t="shared" si="4"/>
        <v>401198</v>
      </c>
      <c r="AY20" s="43">
        <f t="shared" si="4"/>
        <v>215091</v>
      </c>
      <c r="AZ20" s="43">
        <f t="shared" si="4"/>
        <v>351738</v>
      </c>
      <c r="BD20" s="203"/>
      <c r="BE20" s="203"/>
      <c r="BF20" s="209" t="s">
        <v>88</v>
      </c>
      <c r="BG20" s="217" t="s">
        <v>30</v>
      </c>
      <c r="BH20" s="159" t="s">
        <v>196</v>
      </c>
      <c r="BI20" s="161">
        <f>AY20</f>
        <v>215091</v>
      </c>
      <c r="BJ20" s="163"/>
      <c r="BK20" s="165"/>
    </row>
    <row r="21" spans="1:66" x14ac:dyDescent="0.2">
      <c r="A21" s="297" t="s">
        <v>85</v>
      </c>
      <c r="B21" s="298"/>
      <c r="C21" s="309">
        <f>C13*0.5</f>
        <v>157500</v>
      </c>
      <c r="D21" s="310"/>
      <c r="G21" s="274"/>
      <c r="H21" s="244"/>
      <c r="I21" s="213"/>
      <c r="J21" s="247"/>
      <c r="K21" s="247"/>
      <c r="L21" s="247"/>
      <c r="M21" s="247"/>
      <c r="N21" s="247"/>
      <c r="O21" s="253"/>
      <c r="P21" s="11"/>
      <c r="R21" s="294"/>
      <c r="S21" s="294"/>
      <c r="T21" s="294"/>
      <c r="U21" s="294"/>
      <c r="V21" s="294"/>
      <c r="AC21" s="301" t="s">
        <v>99</v>
      </c>
      <c r="AD21" s="301"/>
      <c r="AE21" s="50">
        <v>13860</v>
      </c>
      <c r="AF21" s="50">
        <v>19008</v>
      </c>
      <c r="AG21" s="50">
        <v>236544</v>
      </c>
      <c r="AH21" s="50">
        <v>62370</v>
      </c>
      <c r="AI21" s="50">
        <v>144144</v>
      </c>
      <c r="AJ21" s="50">
        <v>4620</v>
      </c>
      <c r="AK21" s="50">
        <v>27720</v>
      </c>
      <c r="AL21" s="50">
        <v>50688</v>
      </c>
      <c r="AM21" s="50">
        <v>49104</v>
      </c>
      <c r="BD21" s="203"/>
      <c r="BE21" s="203"/>
      <c r="BF21" s="206"/>
      <c r="BG21" s="218"/>
      <c r="BH21" s="160"/>
      <c r="BI21" s="162"/>
      <c r="BJ21" s="164"/>
      <c r="BK21" s="166"/>
    </row>
    <row r="22" spans="1:66" x14ac:dyDescent="0.2">
      <c r="A22" s="302" t="s">
        <v>87</v>
      </c>
      <c r="B22" s="303"/>
      <c r="C22" s="260">
        <f>C13*0.25</f>
        <v>78750</v>
      </c>
      <c r="D22" s="262"/>
      <c r="G22" s="274"/>
      <c r="H22" s="241" t="s">
        <v>102</v>
      </c>
      <c r="I22" s="211" t="s">
        <v>31</v>
      </c>
      <c r="J22" s="245" t="s">
        <v>103</v>
      </c>
      <c r="K22" s="245"/>
      <c r="L22" s="245"/>
      <c r="M22" s="245"/>
      <c r="N22" s="245"/>
      <c r="O22" s="251" t="s">
        <v>90</v>
      </c>
      <c r="P22" s="11"/>
      <c r="Q22" s="3" t="s">
        <v>104</v>
      </c>
      <c r="R22" s="53">
        <v>100</v>
      </c>
      <c r="S22" s="53">
        <v>2895</v>
      </c>
      <c r="T22" s="54">
        <v>2870</v>
      </c>
      <c r="U22" s="55">
        <v>125</v>
      </c>
      <c r="V22" s="55">
        <v>0</v>
      </c>
      <c r="AC22" s="301" t="s">
        <v>160</v>
      </c>
      <c r="AD22" s="301"/>
      <c r="AE22" s="50">
        <v>1300</v>
      </c>
      <c r="AF22" s="50">
        <v>1300</v>
      </c>
      <c r="AG22" s="50">
        <v>20800</v>
      </c>
      <c r="AH22" s="50">
        <v>3900</v>
      </c>
      <c r="AI22" s="50">
        <v>9100</v>
      </c>
      <c r="AJ22" s="50">
        <v>650</v>
      </c>
      <c r="AK22" s="50">
        <v>1300</v>
      </c>
      <c r="AL22" s="50">
        <v>0</v>
      </c>
      <c r="AM22" s="50">
        <v>1950</v>
      </c>
      <c r="BD22" s="203"/>
      <c r="BE22" s="203"/>
      <c r="BF22" s="209" t="s">
        <v>102</v>
      </c>
      <c r="BG22" s="217" t="s">
        <v>31</v>
      </c>
      <c r="BH22" s="159" t="s">
        <v>196</v>
      </c>
      <c r="BI22" s="161">
        <f>AZ20</f>
        <v>351738</v>
      </c>
      <c r="BJ22" s="163"/>
      <c r="BK22" s="173"/>
    </row>
    <row r="23" spans="1:66" ht="13.5" x14ac:dyDescent="0.2">
      <c r="A23" s="287" t="s">
        <v>98</v>
      </c>
      <c r="B23" s="288"/>
      <c r="C23" s="289">
        <f>SUM(D24:D29)</f>
        <v>56700</v>
      </c>
      <c r="D23" s="290"/>
      <c r="G23" s="274"/>
      <c r="H23" s="243"/>
      <c r="I23" s="212"/>
      <c r="J23" s="246"/>
      <c r="K23" s="246"/>
      <c r="L23" s="246"/>
      <c r="M23" s="246"/>
      <c r="N23" s="246"/>
      <c r="O23" s="252"/>
      <c r="P23" s="11"/>
      <c r="Q23" s="299" t="s">
        <v>106</v>
      </c>
      <c r="R23" s="300">
        <v>150000</v>
      </c>
      <c r="S23" s="304">
        <v>845000</v>
      </c>
      <c r="T23" s="308">
        <v>922500</v>
      </c>
      <c r="U23" s="304">
        <v>85000</v>
      </c>
      <c r="V23" s="304">
        <v>12500</v>
      </c>
      <c r="AC23" s="301" t="s">
        <v>161</v>
      </c>
      <c r="AD23" s="301"/>
      <c r="AE23" s="50">
        <v>1307.3500000000001</v>
      </c>
      <c r="AF23" s="50">
        <v>1817.08</v>
      </c>
      <c r="AG23" s="50">
        <v>21198.720000000001</v>
      </c>
      <c r="AH23" s="50">
        <v>5855.8350000000009</v>
      </c>
      <c r="AI23" s="50">
        <v>13312.936</v>
      </c>
      <c r="AJ23" s="50">
        <v>390.3</v>
      </c>
      <c r="AK23" s="50">
        <v>2679.7000000000003</v>
      </c>
      <c r="AL23" s="50">
        <v>0</v>
      </c>
      <c r="AM23" s="50">
        <v>4666.3320000000003</v>
      </c>
      <c r="BD23" s="203"/>
      <c r="BE23" s="203"/>
      <c r="BF23" s="210"/>
      <c r="BG23" s="219"/>
      <c r="BH23" s="167"/>
      <c r="BI23" s="169"/>
      <c r="BJ23" s="171"/>
      <c r="BK23" s="174"/>
    </row>
    <row r="24" spans="1:66" ht="13.5" thickBot="1" x14ac:dyDescent="0.25">
      <c r="A24" s="297" t="s">
        <v>100</v>
      </c>
      <c r="B24" s="298"/>
      <c r="C24" s="51" t="s">
        <v>101</v>
      </c>
      <c r="D24" s="52"/>
      <c r="G24" s="275"/>
      <c r="H24" s="242"/>
      <c r="I24" s="215"/>
      <c r="J24" s="267"/>
      <c r="K24" s="267"/>
      <c r="L24" s="267"/>
      <c r="M24" s="267"/>
      <c r="N24" s="267"/>
      <c r="O24" s="268"/>
      <c r="P24" s="11"/>
      <c r="Q24" s="299"/>
      <c r="R24" s="300"/>
      <c r="S24" s="305"/>
      <c r="T24" s="308"/>
      <c r="U24" s="305"/>
      <c r="V24" s="305"/>
      <c r="AC24" s="307" t="s">
        <v>108</v>
      </c>
      <c r="AD24" s="307"/>
      <c r="AE24" s="50">
        <v>57860.35</v>
      </c>
      <c r="AF24" s="50">
        <v>79375.48</v>
      </c>
      <c r="AG24" s="50">
        <v>1010024.32</v>
      </c>
      <c r="AH24" s="50">
        <v>262839.13500000001</v>
      </c>
      <c r="AI24" s="50">
        <v>611554.21600000001</v>
      </c>
      <c r="AJ24" s="50">
        <v>19934.3</v>
      </c>
      <c r="AK24" s="50">
        <v>115785.7</v>
      </c>
      <c r="AL24" s="50">
        <v>204288</v>
      </c>
      <c r="AM24" s="50">
        <v>206989.69199999998</v>
      </c>
      <c r="BD24" s="204"/>
      <c r="BE24" s="204"/>
      <c r="BF24" s="214"/>
      <c r="BG24" s="220"/>
      <c r="BH24" s="168"/>
      <c r="BI24" s="170"/>
      <c r="BJ24" s="172"/>
      <c r="BK24" s="175"/>
    </row>
    <row r="25" spans="1:66" x14ac:dyDescent="0.2">
      <c r="A25" s="297" t="s">
        <v>105</v>
      </c>
      <c r="B25" s="298"/>
      <c r="C25" s="2"/>
      <c r="D25" s="56">
        <f>(C12*0.1)*0.1</f>
        <v>1575</v>
      </c>
      <c r="G25" s="273" t="s">
        <v>16</v>
      </c>
      <c r="H25" s="276" t="s">
        <v>110</v>
      </c>
      <c r="I25" s="316" t="s">
        <v>24</v>
      </c>
      <c r="J25" s="277" t="s">
        <v>111</v>
      </c>
      <c r="K25" s="277"/>
      <c r="L25" s="277"/>
      <c r="M25" s="277"/>
      <c r="N25" s="277"/>
      <c r="O25" s="278" t="s">
        <v>68</v>
      </c>
      <c r="P25" s="11"/>
      <c r="Q25" s="3" t="s">
        <v>112</v>
      </c>
      <c r="R25" s="53">
        <v>15200</v>
      </c>
      <c r="S25" s="53">
        <v>21250</v>
      </c>
      <c r="T25" s="54">
        <v>28350</v>
      </c>
      <c r="U25" s="55">
        <v>8750</v>
      </c>
      <c r="V25" s="55">
        <v>650</v>
      </c>
      <c r="AC25" s="57" t="s">
        <v>113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BD25" s="158" t="s">
        <v>186</v>
      </c>
      <c r="BE25" s="185"/>
      <c r="BF25" s="185"/>
      <c r="BG25" s="185"/>
      <c r="BH25" s="185"/>
      <c r="BI25" s="185"/>
      <c r="BJ25" s="185"/>
      <c r="BK25" s="185"/>
    </row>
    <row r="26" spans="1:66" x14ac:dyDescent="0.2">
      <c r="A26" s="297" t="s">
        <v>107</v>
      </c>
      <c r="B26" s="298"/>
      <c r="C26" s="2"/>
      <c r="D26" s="56">
        <f>(C12*0.1)*0.3</f>
        <v>4725</v>
      </c>
      <c r="G26" s="274"/>
      <c r="H26" s="243"/>
      <c r="I26" s="212"/>
      <c r="J26" s="246"/>
      <c r="K26" s="246"/>
      <c r="L26" s="246"/>
      <c r="M26" s="246"/>
      <c r="N26" s="246"/>
      <c r="O26" s="252"/>
      <c r="P26" s="11"/>
      <c r="Q26" s="299" t="s">
        <v>115</v>
      </c>
      <c r="R26" s="300">
        <v>0</v>
      </c>
      <c r="S26" s="304">
        <v>6550</v>
      </c>
      <c r="T26" s="308">
        <v>6900</v>
      </c>
      <c r="U26" s="300">
        <v>100</v>
      </c>
      <c r="V26" s="304">
        <v>450</v>
      </c>
      <c r="AC26" s="57" t="s">
        <v>116</v>
      </c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BD26" s="185"/>
      <c r="BE26" s="185"/>
      <c r="BF26" s="185"/>
      <c r="BG26" s="185"/>
      <c r="BH26" s="185"/>
      <c r="BI26" s="185"/>
      <c r="BJ26" s="185"/>
      <c r="BK26" s="185"/>
    </row>
    <row r="27" spans="1:66" x14ac:dyDescent="0.2">
      <c r="A27" s="297" t="s">
        <v>109</v>
      </c>
      <c r="B27" s="298"/>
      <c r="C27" s="2"/>
      <c r="D27" s="56">
        <f>C12*0.05</f>
        <v>7875</v>
      </c>
      <c r="G27" s="274"/>
      <c r="H27" s="244"/>
      <c r="I27" s="213"/>
      <c r="J27" s="247"/>
      <c r="K27" s="247"/>
      <c r="L27" s="247"/>
      <c r="M27" s="247"/>
      <c r="N27" s="247"/>
      <c r="O27" s="253"/>
      <c r="P27" s="11"/>
      <c r="Q27" s="299"/>
      <c r="R27" s="300"/>
      <c r="S27" s="305"/>
      <c r="T27" s="308"/>
      <c r="U27" s="300"/>
      <c r="V27" s="305"/>
      <c r="AC27" s="57" t="s">
        <v>118</v>
      </c>
      <c r="AD27" s="57"/>
      <c r="AE27" s="57"/>
      <c r="AF27" s="57"/>
      <c r="AG27" s="57"/>
      <c r="AH27" s="57"/>
      <c r="AI27" s="57"/>
      <c r="BD27" s="185"/>
      <c r="BE27" s="185"/>
      <c r="BF27" s="185"/>
      <c r="BG27" s="185"/>
      <c r="BH27" s="185"/>
      <c r="BI27" s="185"/>
      <c r="BJ27" s="185"/>
      <c r="BK27" s="185"/>
    </row>
    <row r="28" spans="1:66" x14ac:dyDescent="0.2">
      <c r="A28" s="297" t="s">
        <v>114</v>
      </c>
      <c r="B28" s="298"/>
      <c r="C28" s="2"/>
      <c r="D28" s="56">
        <f>C13*0.06</f>
        <v>18900</v>
      </c>
      <c r="G28" s="274"/>
      <c r="H28" s="241" t="s">
        <v>120</v>
      </c>
      <c r="I28" s="211" t="s">
        <v>25</v>
      </c>
      <c r="J28" s="245" t="s">
        <v>121</v>
      </c>
      <c r="K28" s="245"/>
      <c r="L28" s="245"/>
      <c r="M28" s="245"/>
      <c r="N28" s="245"/>
      <c r="O28" s="251" t="s">
        <v>82</v>
      </c>
      <c r="P28" s="11"/>
      <c r="Q28" s="299" t="s">
        <v>122</v>
      </c>
      <c r="R28" s="300">
        <v>2700</v>
      </c>
      <c r="S28" s="304">
        <v>63250</v>
      </c>
      <c r="T28" s="308">
        <v>64900</v>
      </c>
      <c r="U28" s="300">
        <v>3500</v>
      </c>
      <c r="V28" s="304">
        <v>2450</v>
      </c>
      <c r="AC28" s="320" t="s">
        <v>123</v>
      </c>
      <c r="AD28" s="320"/>
      <c r="AE28" s="320"/>
      <c r="AF28" s="320"/>
      <c r="AG28" s="57"/>
      <c r="AH28" s="57"/>
      <c r="AI28" s="57"/>
      <c r="BD28" s="185"/>
      <c r="BE28" s="185"/>
      <c r="BF28" s="185"/>
      <c r="BG28" s="185"/>
      <c r="BH28" s="185"/>
      <c r="BI28" s="185"/>
      <c r="BJ28" s="185"/>
      <c r="BK28" s="185"/>
    </row>
    <row r="29" spans="1:66" x14ac:dyDescent="0.2">
      <c r="A29" s="302" t="s">
        <v>117</v>
      </c>
      <c r="B29" s="303"/>
      <c r="C29" s="58"/>
      <c r="D29" s="59">
        <f>C12*0.15</f>
        <v>23625</v>
      </c>
      <c r="G29" s="274"/>
      <c r="H29" s="243"/>
      <c r="I29" s="212"/>
      <c r="J29" s="246"/>
      <c r="K29" s="246"/>
      <c r="L29" s="246"/>
      <c r="M29" s="246"/>
      <c r="N29" s="246"/>
      <c r="O29" s="252"/>
      <c r="P29" s="11"/>
      <c r="Q29" s="299"/>
      <c r="R29" s="300"/>
      <c r="S29" s="305"/>
      <c r="T29" s="308"/>
      <c r="U29" s="300"/>
      <c r="V29" s="305"/>
      <c r="AC29" s="320"/>
      <c r="AD29" s="320"/>
      <c r="AE29" s="320"/>
      <c r="AF29" s="320"/>
      <c r="AG29" s="57"/>
      <c r="AH29" s="57"/>
      <c r="AI29" s="57"/>
      <c r="BF29" s="91" t="s">
        <v>185</v>
      </c>
      <c r="BG29" s="91"/>
      <c r="BH29" s="91"/>
      <c r="BI29" s="91"/>
    </row>
    <row r="30" spans="1:66" ht="14.25" thickBot="1" x14ac:dyDescent="0.25">
      <c r="A30" s="313" t="s">
        <v>119</v>
      </c>
      <c r="B30" s="314"/>
      <c r="C30" s="285">
        <v>125250</v>
      </c>
      <c r="D30" s="286">
        <f>C13*0.05</f>
        <v>15750</v>
      </c>
      <c r="G30" s="275"/>
      <c r="H30" s="242"/>
      <c r="I30" s="215"/>
      <c r="J30" s="267"/>
      <c r="K30" s="267"/>
      <c r="L30" s="267"/>
      <c r="M30" s="267"/>
      <c r="N30" s="267"/>
      <c r="O30" s="268"/>
      <c r="P30" s="11"/>
      <c r="Q30" s="3" t="s">
        <v>125</v>
      </c>
      <c r="R30" s="53">
        <v>2750</v>
      </c>
      <c r="S30" s="53">
        <v>18920</v>
      </c>
      <c r="T30" s="54">
        <v>20895</v>
      </c>
      <c r="U30" s="55">
        <v>1525</v>
      </c>
      <c r="V30" s="55">
        <v>750</v>
      </c>
      <c r="AC30" s="6" t="s">
        <v>126</v>
      </c>
      <c r="AF30">
        <v>365</v>
      </c>
      <c r="AG30" s="57"/>
      <c r="AH30" s="57"/>
      <c r="AI30" s="57"/>
      <c r="BF30" s="186" t="s">
        <v>169</v>
      </c>
      <c r="BG30" s="186" t="s">
        <v>183</v>
      </c>
      <c r="BH30" s="186"/>
      <c r="BI30" s="178" t="s">
        <v>189</v>
      </c>
      <c r="BL30" s="179"/>
      <c r="BM30" s="179"/>
      <c r="BN30" s="94"/>
    </row>
    <row r="31" spans="1:66" x14ac:dyDescent="0.2">
      <c r="A31" s="297" t="s">
        <v>124</v>
      </c>
      <c r="B31" s="298"/>
      <c r="C31" s="315">
        <f>C30+C23+C19+C18</f>
        <v>8529450</v>
      </c>
      <c r="D31" s="315"/>
      <c r="Q31" s="3" t="s">
        <v>127</v>
      </c>
      <c r="R31" s="53">
        <v>35250</v>
      </c>
      <c r="S31" s="53">
        <v>125600</v>
      </c>
      <c r="T31" s="54">
        <v>136300</v>
      </c>
      <c r="U31" s="55">
        <v>25800</v>
      </c>
      <c r="V31" s="55">
        <v>1250</v>
      </c>
      <c r="AC31" t="s">
        <v>128</v>
      </c>
      <c r="AE31">
        <v>104</v>
      </c>
      <c r="BF31" s="186"/>
      <c r="BG31" s="186"/>
      <c r="BH31" s="186"/>
      <c r="BI31" s="187"/>
      <c r="BL31" s="94"/>
    </row>
    <row r="32" spans="1:66" x14ac:dyDescent="0.2">
      <c r="Q32" s="3" t="s">
        <v>129</v>
      </c>
      <c r="R32" s="53">
        <v>38500</v>
      </c>
      <c r="S32" s="53">
        <v>6550</v>
      </c>
      <c r="T32" s="60">
        <v>6500</v>
      </c>
      <c r="U32" s="54">
        <v>38550</v>
      </c>
      <c r="V32" s="55">
        <v>0</v>
      </c>
      <c r="AC32" s="6" t="s">
        <v>130</v>
      </c>
      <c r="AE32">
        <v>28</v>
      </c>
      <c r="BF32" s="92" t="s">
        <v>171</v>
      </c>
      <c r="BG32" s="189">
        <v>35000</v>
      </c>
      <c r="BH32" s="189"/>
      <c r="BI32" s="97">
        <v>157500</v>
      </c>
      <c r="BJ32" s="123"/>
      <c r="BK32">
        <f>BI32/$BI$44</f>
        <v>8.9826762719965467E-2</v>
      </c>
    </row>
    <row r="33" spans="17:66" x14ac:dyDescent="0.2">
      <c r="Q33" s="3" t="s">
        <v>131</v>
      </c>
      <c r="R33" s="53">
        <v>65800</v>
      </c>
      <c r="S33" s="53">
        <v>3650</v>
      </c>
      <c r="T33" s="60">
        <v>3650</v>
      </c>
      <c r="U33" s="54">
        <v>65800</v>
      </c>
      <c r="V33" s="55">
        <v>0</v>
      </c>
      <c r="AC33" t="s">
        <v>132</v>
      </c>
      <c r="AE33">
        <v>15</v>
      </c>
      <c r="BF33" s="92" t="s">
        <v>172</v>
      </c>
      <c r="BG33" s="179">
        <v>34500</v>
      </c>
      <c r="BH33" s="179"/>
      <c r="BI33" s="94">
        <v>155250</v>
      </c>
      <c r="BJ33" s="123"/>
      <c r="BK33">
        <f t="shared" ref="BK33:BK43" si="5">BI33/$BI$44</f>
        <v>8.8543523252537379E-2</v>
      </c>
    </row>
    <row r="34" spans="17:66" x14ac:dyDescent="0.2">
      <c r="Q34" s="3" t="s">
        <v>133</v>
      </c>
      <c r="R34" s="53">
        <v>1500</v>
      </c>
      <c r="S34" s="53">
        <v>550</v>
      </c>
      <c r="T34" s="60">
        <v>550</v>
      </c>
      <c r="U34" s="54">
        <v>1500</v>
      </c>
      <c r="V34" s="55">
        <v>0</v>
      </c>
      <c r="AC34" t="s">
        <v>134</v>
      </c>
      <c r="AE34">
        <v>5</v>
      </c>
      <c r="BF34" s="92" t="s">
        <v>173</v>
      </c>
      <c r="BG34" s="179">
        <v>31255</v>
      </c>
      <c r="BH34" s="179"/>
      <c r="BI34" s="94">
        <v>140647.5</v>
      </c>
      <c r="BJ34" s="123"/>
      <c r="BK34">
        <f t="shared" si="5"/>
        <v>8.0215299108929161E-2</v>
      </c>
    </row>
    <row r="35" spans="17:66" ht="13.5" thickBot="1" x14ac:dyDescent="0.25">
      <c r="Q35" s="61" t="s">
        <v>135</v>
      </c>
      <c r="AC35" t="s">
        <v>136</v>
      </c>
      <c r="AE35" s="4">
        <v>7</v>
      </c>
      <c r="BF35" s="92" t="s">
        <v>174</v>
      </c>
      <c r="BG35" s="179">
        <v>21450</v>
      </c>
      <c r="BH35" s="179"/>
      <c r="BI35" s="94">
        <v>139425</v>
      </c>
      <c r="BJ35" s="123"/>
      <c r="BK35">
        <f t="shared" si="5"/>
        <v>7.9518072331626569E-2</v>
      </c>
    </row>
    <row r="36" spans="17:66" ht="13.5" thickTop="1" x14ac:dyDescent="0.2">
      <c r="Q36" s="61" t="s">
        <v>137</v>
      </c>
      <c r="AC36" t="s">
        <v>138</v>
      </c>
      <c r="AE36">
        <f>AF30-AE31-AE32-AE33-AE34-AE35</f>
        <v>206</v>
      </c>
      <c r="BF36" s="92" t="s">
        <v>175</v>
      </c>
      <c r="BG36" s="179">
        <v>18850</v>
      </c>
      <c r="BH36" s="179"/>
      <c r="BI36" s="97">
        <v>131950</v>
      </c>
      <c r="BJ36" s="123"/>
      <c r="BK36">
        <f t="shared" si="5"/>
        <v>7.5254865656504397E-2</v>
      </c>
    </row>
    <row r="37" spans="17:66" x14ac:dyDescent="0.2">
      <c r="Q37" s="61" t="s">
        <v>139</v>
      </c>
      <c r="AC37" t="s">
        <v>140</v>
      </c>
      <c r="AE37" s="62">
        <v>8</v>
      </c>
      <c r="BF37" s="92" t="s">
        <v>176</v>
      </c>
      <c r="BG37" s="189">
        <v>15325</v>
      </c>
      <c r="BH37" s="189"/>
      <c r="BI37" s="97">
        <v>119702.49906353699</v>
      </c>
      <c r="BJ37" s="123"/>
      <c r="BK37">
        <f t="shared" si="5"/>
        <v>6.8269764954712542E-2</v>
      </c>
    </row>
    <row r="38" spans="17:66" x14ac:dyDescent="0.2">
      <c r="AC38" s="6" t="s">
        <v>141</v>
      </c>
      <c r="AE38" s="62">
        <v>7</v>
      </c>
      <c r="BF38" s="92" t="s">
        <v>177</v>
      </c>
      <c r="BG38" s="179">
        <v>17800</v>
      </c>
      <c r="BH38" s="179"/>
      <c r="BI38" s="97">
        <v>124600</v>
      </c>
      <c r="BJ38" s="123"/>
      <c r="BK38">
        <f t="shared" si="5"/>
        <v>7.1062950062906013E-2</v>
      </c>
    </row>
    <row r="39" spans="17:66" x14ac:dyDescent="0.2">
      <c r="AE39" s="62"/>
      <c r="BF39" s="92" t="s">
        <v>178</v>
      </c>
      <c r="BG39" s="179">
        <v>21200</v>
      </c>
      <c r="BH39" s="179"/>
      <c r="BI39" s="97">
        <v>137800</v>
      </c>
      <c r="BJ39" s="123"/>
      <c r="BK39">
        <f t="shared" si="5"/>
        <v>7.8591288271817397E-2</v>
      </c>
    </row>
    <row r="40" spans="17:66" x14ac:dyDescent="0.2">
      <c r="AC40" s="318" t="s">
        <v>142</v>
      </c>
      <c r="AD40" s="318"/>
      <c r="AE40" s="319">
        <f>AE37*AE36</f>
        <v>1648</v>
      </c>
      <c r="AF40" s="319"/>
      <c r="BF40" s="92" t="s">
        <v>179</v>
      </c>
      <c r="BG40" s="179">
        <v>25450</v>
      </c>
      <c r="BH40" s="179"/>
      <c r="BI40" s="97">
        <v>165425</v>
      </c>
      <c r="BJ40" s="123"/>
      <c r="BK40">
        <f t="shared" si="5"/>
        <v>9.4346617288573242E-2</v>
      </c>
    </row>
    <row r="41" spans="17:66" x14ac:dyDescent="0.2">
      <c r="AC41" s="318"/>
      <c r="AD41" s="318"/>
      <c r="AE41" s="319"/>
      <c r="AF41" s="319"/>
      <c r="BF41" s="92" t="s">
        <v>180</v>
      </c>
      <c r="BG41" s="179">
        <v>28655</v>
      </c>
      <c r="BH41" s="179"/>
      <c r="BI41" s="94">
        <v>186257.5</v>
      </c>
      <c r="BJ41" s="123"/>
      <c r="BK41">
        <f t="shared" si="5"/>
        <v>0.10622798893532677</v>
      </c>
    </row>
    <row r="42" spans="17:66" x14ac:dyDescent="0.2">
      <c r="AC42" s="318" t="s">
        <v>143</v>
      </c>
      <c r="AD42" s="318"/>
      <c r="AE42" s="319">
        <f>AE38*AE36</f>
        <v>1442</v>
      </c>
      <c r="AF42" s="319"/>
      <c r="BF42" s="92" t="s">
        <v>181</v>
      </c>
      <c r="BG42" s="179">
        <v>31250</v>
      </c>
      <c r="BH42" s="179"/>
      <c r="BI42" s="94">
        <v>140625</v>
      </c>
      <c r="BJ42" s="123"/>
      <c r="BK42">
        <f t="shared" si="5"/>
        <v>8.0202466714254878E-2</v>
      </c>
    </row>
    <row r="43" spans="17:66" ht="13.5" thickBot="1" x14ac:dyDescent="0.25">
      <c r="AC43" s="318"/>
      <c r="AD43" s="318"/>
      <c r="AE43" s="319"/>
      <c r="AF43" s="319"/>
      <c r="BF43" s="92" t="s">
        <v>182</v>
      </c>
      <c r="BG43" s="180">
        <v>34265</v>
      </c>
      <c r="BH43" s="180"/>
      <c r="BI43" s="95">
        <v>154192.5</v>
      </c>
      <c r="BJ43" s="123"/>
      <c r="BK43">
        <f t="shared" si="5"/>
        <v>8.7940400702846186E-2</v>
      </c>
    </row>
    <row r="44" spans="17:66" ht="13.5" thickTop="1" x14ac:dyDescent="0.2">
      <c r="BF44" s="93" t="s">
        <v>1</v>
      </c>
      <c r="BG44" s="179">
        <f>SUM(BG32:BG43)</f>
        <v>315000</v>
      </c>
      <c r="BH44" s="179"/>
      <c r="BI44" s="94">
        <f>SUM(BI32:BI43)</f>
        <v>1753374.999063537</v>
      </c>
      <c r="BJ44" s="44"/>
      <c r="BK44" s="94">
        <f>SUM(BK32:BK43)</f>
        <v>1</v>
      </c>
      <c r="BL44" s="94"/>
      <c r="BN44" s="94"/>
    </row>
    <row r="45" spans="17:66" ht="12.75" customHeight="1" x14ac:dyDescent="0.2">
      <c r="BD45" s="178" t="s">
        <v>209</v>
      </c>
      <c r="BE45" s="178"/>
      <c r="BF45" s="178"/>
      <c r="BG45" s="178"/>
      <c r="BH45" s="178"/>
      <c r="BI45" s="178"/>
      <c r="BJ45" s="178"/>
      <c r="BK45" s="317">
        <v>0.9</v>
      </c>
    </row>
    <row r="46" spans="17:66" x14ac:dyDescent="0.2">
      <c r="BD46" s="178"/>
      <c r="BE46" s="178"/>
      <c r="BF46" s="178"/>
      <c r="BG46" s="178"/>
      <c r="BH46" s="178"/>
      <c r="BI46" s="178"/>
      <c r="BJ46" s="178"/>
      <c r="BK46" s="317"/>
    </row>
    <row r="47" spans="17:66" x14ac:dyDescent="0.2">
      <c r="BD47" s="158" t="s">
        <v>190</v>
      </c>
      <c r="BE47" s="185"/>
      <c r="BF47" s="185"/>
      <c r="BG47" s="185"/>
      <c r="BH47" s="185"/>
      <c r="BI47" s="185"/>
      <c r="BJ47" s="185"/>
      <c r="BK47" s="185"/>
    </row>
    <row r="48" spans="17:66" x14ac:dyDescent="0.2">
      <c r="BD48" s="185"/>
      <c r="BE48" s="185"/>
      <c r="BF48" s="185"/>
      <c r="BG48" s="185"/>
      <c r="BH48" s="185"/>
      <c r="BI48" s="185"/>
      <c r="BJ48" s="185"/>
      <c r="BK48" s="185"/>
    </row>
    <row r="49" spans="48:68" x14ac:dyDescent="0.2">
      <c r="BD49" s="185"/>
      <c r="BE49" s="185"/>
      <c r="BF49" s="185"/>
      <c r="BG49" s="185"/>
      <c r="BH49" s="185"/>
      <c r="BI49" s="185"/>
      <c r="BJ49" s="185"/>
      <c r="BK49" s="185"/>
    </row>
    <row r="50" spans="48:68" x14ac:dyDescent="0.2">
      <c r="BD50" s="185"/>
      <c r="BE50" s="185"/>
      <c r="BF50" s="185"/>
      <c r="BG50" s="185"/>
      <c r="BH50" s="185"/>
      <c r="BI50" s="185"/>
      <c r="BJ50" s="185"/>
      <c r="BK50" s="185"/>
    </row>
    <row r="51" spans="48:68" x14ac:dyDescent="0.2">
      <c r="BF51" s="91" t="s">
        <v>191</v>
      </c>
      <c r="BG51" s="98"/>
      <c r="BH51" s="98"/>
      <c r="BI51" s="91"/>
    </row>
    <row r="52" spans="48:68" ht="12.75" customHeight="1" x14ac:dyDescent="0.2">
      <c r="AV52" s="135"/>
      <c r="AW52" s="135"/>
      <c r="AX52" s="135"/>
      <c r="AY52" s="135"/>
      <c r="AZ52" s="135"/>
      <c r="BA52" s="135"/>
      <c r="BB52" s="135"/>
      <c r="BC52" s="135"/>
      <c r="BF52" s="186" t="s">
        <v>169</v>
      </c>
      <c r="BG52" s="178" t="s">
        <v>192</v>
      </c>
      <c r="BH52" s="178"/>
      <c r="BI52" s="187" t="s">
        <v>184</v>
      </c>
    </row>
    <row r="53" spans="48:68" x14ac:dyDescent="0.2">
      <c r="AV53" s="135"/>
      <c r="AW53" s="135"/>
      <c r="AX53" s="135"/>
      <c r="AY53" s="135"/>
      <c r="AZ53" s="135"/>
      <c r="BA53" s="135"/>
      <c r="BB53" s="135"/>
      <c r="BC53" s="135"/>
      <c r="BF53" s="186"/>
      <c r="BG53" s="178"/>
      <c r="BH53" s="178"/>
      <c r="BI53" s="187"/>
    </row>
    <row r="54" spans="48:68" x14ac:dyDescent="0.2">
      <c r="AV54" s="135"/>
      <c r="AW54" s="135"/>
      <c r="AX54" s="135"/>
      <c r="AY54" s="135"/>
      <c r="AZ54" s="135"/>
      <c r="BA54" s="135"/>
      <c r="BB54" s="135"/>
      <c r="BC54" s="135"/>
      <c r="BF54" s="92" t="s">
        <v>171</v>
      </c>
      <c r="BG54" s="177">
        <v>110500</v>
      </c>
      <c r="BH54" s="177"/>
      <c r="BI54" s="94">
        <v>98106.275093390126</v>
      </c>
      <c r="BJ54" s="133"/>
      <c r="BK54" s="153"/>
    </row>
    <row r="55" spans="48:68" x14ac:dyDescent="0.2">
      <c r="AV55" s="135"/>
      <c r="AW55" s="135"/>
      <c r="AX55" s="135"/>
      <c r="AY55" s="135"/>
      <c r="AZ55" s="135"/>
      <c r="BA55" s="135"/>
      <c r="BB55" s="135"/>
      <c r="BC55" s="135"/>
      <c r="BF55" s="92" t="s">
        <v>172</v>
      </c>
      <c r="BG55" s="177">
        <v>118125</v>
      </c>
      <c r="BH55" s="177"/>
      <c r="BI55" s="94">
        <v>96704.756877770255</v>
      </c>
      <c r="BJ55" s="133"/>
      <c r="BK55" s="133"/>
    </row>
    <row r="56" spans="48:68" x14ac:dyDescent="0.2">
      <c r="AV56" s="135"/>
      <c r="AW56" s="135"/>
      <c r="AX56" s="135"/>
      <c r="AY56" s="135"/>
      <c r="AZ56" s="135"/>
      <c r="BA56" s="135"/>
      <c r="BB56" s="135"/>
      <c r="BC56" s="135"/>
      <c r="BF56" s="92" t="s">
        <v>173</v>
      </c>
      <c r="BG56" s="177">
        <v>89775</v>
      </c>
      <c r="BH56" s="177"/>
      <c r="BI56" s="94">
        <v>87608.903658397379</v>
      </c>
      <c r="BJ56" s="133"/>
      <c r="BK56" s="133"/>
    </row>
    <row r="57" spans="48:68" x14ac:dyDescent="0.2">
      <c r="AV57" s="135"/>
      <c r="AW57" s="135"/>
      <c r="AX57" s="135"/>
      <c r="AY57" s="135"/>
      <c r="AZ57" s="135"/>
      <c r="BA57" s="135"/>
      <c r="BB57" s="135"/>
      <c r="BC57" s="135"/>
      <c r="BF57" s="92" t="s">
        <v>174</v>
      </c>
      <c r="BG57" s="177">
        <v>70875</v>
      </c>
      <c r="BH57" s="177"/>
      <c r="BI57" s="94">
        <v>86847.412094577259</v>
      </c>
      <c r="BJ57" s="133"/>
      <c r="BK57" s="133"/>
      <c r="BP57" s="94"/>
    </row>
    <row r="58" spans="48:68" x14ac:dyDescent="0.2">
      <c r="AV58" s="135"/>
      <c r="AW58" s="135"/>
      <c r="AX58" s="135"/>
      <c r="AY58" s="135"/>
      <c r="AZ58" s="135"/>
      <c r="BA58" s="135"/>
      <c r="BB58" s="135"/>
      <c r="BC58" s="135"/>
      <c r="BF58" s="92" t="s">
        <v>175</v>
      </c>
      <c r="BG58" s="177">
        <v>51975</v>
      </c>
      <c r="BH58" s="177"/>
      <c r="BI58" s="94">
        <v>82191.25713379572</v>
      </c>
      <c r="BJ58" s="133"/>
      <c r="BK58" s="133"/>
    </row>
    <row r="59" spans="48:68" x14ac:dyDescent="0.2">
      <c r="AV59" s="135"/>
      <c r="AW59" s="135"/>
      <c r="AX59" s="135"/>
      <c r="AY59" s="135"/>
      <c r="AZ59" s="135"/>
      <c r="BA59" s="135"/>
      <c r="BB59" s="135"/>
      <c r="BC59" s="135"/>
      <c r="BF59" s="92" t="s">
        <v>176</v>
      </c>
      <c r="BG59" s="177">
        <v>47250</v>
      </c>
      <c r="BH59" s="177"/>
      <c r="BI59" s="94">
        <v>74562.325730118304</v>
      </c>
      <c r="BJ59" s="133"/>
      <c r="BK59" s="133"/>
    </row>
    <row r="60" spans="48:68" x14ac:dyDescent="0.2">
      <c r="AV60" s="135"/>
      <c r="AW60" s="135"/>
      <c r="AX60" s="135"/>
      <c r="AY60" s="135"/>
      <c r="AZ60" s="135"/>
      <c r="BA60" s="135"/>
      <c r="BB60" s="135"/>
      <c r="BC60" s="135"/>
      <c r="BF60" s="92" t="s">
        <v>177</v>
      </c>
      <c r="BG60" s="177">
        <v>52450</v>
      </c>
      <c r="BH60" s="177"/>
      <c r="BI60" s="94">
        <v>77612.964296104183</v>
      </c>
      <c r="BJ60" s="133"/>
      <c r="BK60" s="133"/>
    </row>
    <row r="61" spans="48:68" x14ac:dyDescent="0.2">
      <c r="AV61" s="135"/>
      <c r="AW61" s="135"/>
      <c r="AX61" s="135"/>
      <c r="AY61" s="135"/>
      <c r="AZ61" s="135"/>
      <c r="BA61" s="135"/>
      <c r="BB61" s="135"/>
      <c r="BC61" s="135"/>
      <c r="BF61" s="92" t="s">
        <v>178</v>
      </c>
      <c r="BG61" s="177">
        <v>56700</v>
      </c>
      <c r="BH61" s="177"/>
      <c r="BI61" s="94">
        <v>85835.204494407357</v>
      </c>
      <c r="BJ61" s="133"/>
      <c r="BK61" s="133"/>
    </row>
    <row r="62" spans="48:68" x14ac:dyDescent="0.2">
      <c r="AV62" s="135"/>
      <c r="AW62" s="135"/>
      <c r="AX62" s="135"/>
      <c r="AY62" s="135"/>
      <c r="AZ62" s="135"/>
      <c r="BA62" s="135"/>
      <c r="BB62" s="135"/>
      <c r="BC62" s="135"/>
      <c r="BF62" s="92" t="s">
        <v>179</v>
      </c>
      <c r="BG62" s="177">
        <v>66150</v>
      </c>
      <c r="BH62" s="177"/>
      <c r="BI62" s="94">
        <v>103042.73369729561</v>
      </c>
      <c r="BJ62" s="133"/>
      <c r="BK62" s="133"/>
      <c r="BL62" s="154"/>
      <c r="BN62" s="94"/>
    </row>
    <row r="63" spans="48:68" x14ac:dyDescent="0.2">
      <c r="AV63" s="135"/>
      <c r="AW63" s="135"/>
      <c r="AX63" s="135"/>
      <c r="AY63" s="135"/>
      <c r="AZ63" s="135"/>
      <c r="BA63" s="135"/>
      <c r="BB63" s="135"/>
      <c r="BC63" s="135"/>
      <c r="BF63" s="92" t="s">
        <v>180</v>
      </c>
      <c r="BG63" s="177">
        <v>85050</v>
      </c>
      <c r="BH63" s="177"/>
      <c r="BI63" s="94">
        <v>116019.2351314737</v>
      </c>
      <c r="BJ63" s="133"/>
      <c r="BK63" s="133"/>
      <c r="BL63" s="154"/>
      <c r="BN63" s="94"/>
    </row>
    <row r="64" spans="48:68" x14ac:dyDescent="0.2">
      <c r="AV64" s="135"/>
      <c r="AW64" s="135"/>
      <c r="AX64" s="135"/>
      <c r="AY64" s="135"/>
      <c r="AZ64" s="135"/>
      <c r="BA64" s="135"/>
      <c r="BB64" s="135"/>
      <c r="BC64" s="135"/>
      <c r="BF64" s="92" t="s">
        <v>181</v>
      </c>
      <c r="BG64" s="177">
        <v>91200</v>
      </c>
      <c r="BH64" s="177"/>
      <c r="BI64" s="94">
        <v>87594.888476241176</v>
      </c>
      <c r="BJ64" s="133"/>
      <c r="BK64" s="133"/>
      <c r="BL64" s="154"/>
      <c r="BN64" s="94"/>
    </row>
    <row r="65" spans="48:66" ht="13.5" thickBot="1" x14ac:dyDescent="0.25">
      <c r="AV65" s="135"/>
      <c r="AW65" s="135"/>
      <c r="AX65" s="135"/>
      <c r="AY65" s="135"/>
      <c r="AZ65" s="135"/>
      <c r="BA65" s="135"/>
      <c r="BB65" s="135"/>
      <c r="BC65" s="135"/>
      <c r="BF65" s="92" t="s">
        <v>182</v>
      </c>
      <c r="BG65" s="182">
        <v>108675</v>
      </c>
      <c r="BH65" s="182"/>
      <c r="BI65" s="95">
        <v>96046.043316428928</v>
      </c>
      <c r="BJ65" s="133"/>
      <c r="BK65" s="133"/>
      <c r="BL65" s="154"/>
      <c r="BN65" s="94"/>
    </row>
    <row r="66" spans="48:66" ht="13.5" thickTop="1" x14ac:dyDescent="0.2">
      <c r="AV66" s="135"/>
      <c r="AW66" s="135"/>
      <c r="AX66" s="135"/>
      <c r="AY66" s="135"/>
      <c r="AZ66" s="135"/>
      <c r="BA66" s="135"/>
      <c r="BB66" s="135"/>
      <c r="BC66" s="135"/>
      <c r="BF66" s="93" t="s">
        <v>1</v>
      </c>
      <c r="BG66" s="176">
        <f>SUM(BG54:BH65)</f>
        <v>948725</v>
      </c>
      <c r="BH66" s="176"/>
      <c r="BI66" s="132">
        <f>SUM(BI54:BI65)</f>
        <v>1092172</v>
      </c>
      <c r="BJ66" s="133"/>
      <c r="BK66" s="94"/>
      <c r="BL66" s="155"/>
      <c r="BN66" s="94"/>
    </row>
    <row r="67" spans="48:66" x14ac:dyDescent="0.2">
      <c r="AZ67" s="94"/>
      <c r="BD67" s="158" t="s">
        <v>194</v>
      </c>
      <c r="BE67" s="158"/>
      <c r="BF67" s="158"/>
      <c r="BG67" s="158"/>
      <c r="BH67" s="158"/>
      <c r="BI67" s="158"/>
      <c r="BJ67" s="158"/>
      <c r="BK67" s="158"/>
    </row>
    <row r="68" spans="48:66" x14ac:dyDescent="0.2">
      <c r="BD68" s="158"/>
      <c r="BE68" s="158"/>
      <c r="BF68" s="158"/>
      <c r="BG68" s="158"/>
      <c r="BH68" s="158"/>
      <c r="BI68" s="158"/>
      <c r="BJ68" s="158"/>
      <c r="BK68" s="158"/>
    </row>
    <row r="69" spans="48:66" ht="12.75" customHeight="1" x14ac:dyDescent="0.2">
      <c r="BD69" s="158" t="s">
        <v>210</v>
      </c>
      <c r="BE69" s="158"/>
      <c r="BF69" s="158"/>
      <c r="BG69" s="158"/>
      <c r="BH69" s="158"/>
      <c r="BI69" s="158"/>
      <c r="BJ69" s="158"/>
      <c r="BK69" s="181">
        <v>125000</v>
      </c>
    </row>
    <row r="70" spans="48:66" x14ac:dyDescent="0.2">
      <c r="BD70" s="158"/>
      <c r="BE70" s="158"/>
      <c r="BF70" s="158"/>
      <c r="BG70" s="158"/>
      <c r="BH70" s="158"/>
      <c r="BI70" s="158"/>
      <c r="BJ70" s="158"/>
      <c r="BK70" s="181"/>
    </row>
    <row r="71" spans="48:66" ht="12.75" customHeight="1" x14ac:dyDescent="0.2">
      <c r="BD71" s="158" t="s">
        <v>197</v>
      </c>
      <c r="BE71" s="158"/>
      <c r="BF71" s="158"/>
      <c r="BG71" s="158"/>
      <c r="BH71" s="158"/>
      <c r="BI71" s="158"/>
      <c r="BJ71" s="158"/>
      <c r="BK71" s="158"/>
    </row>
    <row r="72" spans="48:66" x14ac:dyDescent="0.2">
      <c r="BD72" s="158"/>
      <c r="BE72" s="158"/>
      <c r="BF72" s="158"/>
      <c r="BG72" s="158"/>
      <c r="BH72" s="158"/>
      <c r="BI72" s="158"/>
      <c r="BJ72" s="158"/>
      <c r="BK72" s="158"/>
    </row>
    <row r="73" spans="48:66" x14ac:dyDescent="0.2">
      <c r="BD73" s="158"/>
      <c r="BE73" s="158"/>
      <c r="BF73" s="158"/>
      <c r="BG73" s="158"/>
      <c r="BH73" s="158"/>
      <c r="BI73" s="158"/>
      <c r="BJ73" s="158"/>
      <c r="BK73" s="158"/>
    </row>
    <row r="75" spans="48:66" x14ac:dyDescent="0.2">
      <c r="BI75" s="94"/>
    </row>
  </sheetData>
  <mergeCells count="263">
    <mergeCell ref="BL30:BM30"/>
    <mergeCell ref="BD45:BJ46"/>
    <mergeCell ref="BK45:BK46"/>
    <mergeCell ref="AC40:AD41"/>
    <mergeCell ref="AE40:AF41"/>
    <mergeCell ref="AC42:AD43"/>
    <mergeCell ref="AE42:AF43"/>
    <mergeCell ref="S28:S29"/>
    <mergeCell ref="T28:T29"/>
    <mergeCell ref="U28:U29"/>
    <mergeCell ref="V28:V29"/>
    <mergeCell ref="AC28:AF29"/>
    <mergeCell ref="BG39:BH39"/>
    <mergeCell ref="BG40:BH40"/>
    <mergeCell ref="BG41:BH41"/>
    <mergeCell ref="U23:U24"/>
    <mergeCell ref="A31:B31"/>
    <mergeCell ref="C31:D31"/>
    <mergeCell ref="V26:V27"/>
    <mergeCell ref="A29:B29"/>
    <mergeCell ref="A30:B30"/>
    <mergeCell ref="C30:D30"/>
    <mergeCell ref="H28:H30"/>
    <mergeCell ref="I28:I30"/>
    <mergeCell ref="J28:N30"/>
    <mergeCell ref="O28:O30"/>
    <mergeCell ref="Q28:Q29"/>
    <mergeCell ref="R28:R29"/>
    <mergeCell ref="A28:B28"/>
    <mergeCell ref="Q26:Q27"/>
    <mergeCell ref="R26:R27"/>
    <mergeCell ref="S26:S27"/>
    <mergeCell ref="T26:T27"/>
    <mergeCell ref="U26:U27"/>
    <mergeCell ref="A26:B26"/>
    <mergeCell ref="A27:B27"/>
    <mergeCell ref="G25:G30"/>
    <mergeCell ref="H25:H27"/>
    <mergeCell ref="I25:I27"/>
    <mergeCell ref="AO17:AO19"/>
    <mergeCell ref="AP17:AP19"/>
    <mergeCell ref="A20:B20"/>
    <mergeCell ref="C20:D20"/>
    <mergeCell ref="Q18:V19"/>
    <mergeCell ref="AC18:AD18"/>
    <mergeCell ref="A21:B21"/>
    <mergeCell ref="C21:D21"/>
    <mergeCell ref="AC19:AD19"/>
    <mergeCell ref="AO20:AP20"/>
    <mergeCell ref="AC21:AD21"/>
    <mergeCell ref="R20:R21"/>
    <mergeCell ref="S20:S21"/>
    <mergeCell ref="T20:T21"/>
    <mergeCell ref="U20:U21"/>
    <mergeCell ref="V20:V21"/>
    <mergeCell ref="AC20:AD20"/>
    <mergeCell ref="H20:H21"/>
    <mergeCell ref="I20:I21"/>
    <mergeCell ref="H17:H19"/>
    <mergeCell ref="I17:I19"/>
    <mergeCell ref="J17:N19"/>
    <mergeCell ref="O17:O19"/>
    <mergeCell ref="A18:B18"/>
    <mergeCell ref="J25:N27"/>
    <mergeCell ref="O25:O27"/>
    <mergeCell ref="A25:B25"/>
    <mergeCell ref="Q23:Q24"/>
    <mergeCell ref="R23:R24"/>
    <mergeCell ref="AC17:AD17"/>
    <mergeCell ref="A23:B23"/>
    <mergeCell ref="C23:D23"/>
    <mergeCell ref="A24:B24"/>
    <mergeCell ref="H22:H24"/>
    <mergeCell ref="I22:I24"/>
    <mergeCell ref="J22:N24"/>
    <mergeCell ref="O22:O24"/>
    <mergeCell ref="AC22:AD22"/>
    <mergeCell ref="A22:B22"/>
    <mergeCell ref="C22:D22"/>
    <mergeCell ref="V23:V24"/>
    <mergeCell ref="AC23:AD23"/>
    <mergeCell ref="A17:D17"/>
    <mergeCell ref="AC24:AD24"/>
    <mergeCell ref="S23:S24"/>
    <mergeCell ref="T23:T24"/>
    <mergeCell ref="J20:N21"/>
    <mergeCell ref="O20:O21"/>
    <mergeCell ref="C18:D18"/>
    <mergeCell ref="A19:B19"/>
    <mergeCell ref="C19:D19"/>
    <mergeCell ref="G17:G24"/>
    <mergeCell ref="A12:B12"/>
    <mergeCell ref="C12:D12"/>
    <mergeCell ref="AC12:AD12"/>
    <mergeCell ref="AO12:AP12"/>
    <mergeCell ref="A13:B13"/>
    <mergeCell ref="C13:D13"/>
    <mergeCell ref="AC13:AD13"/>
    <mergeCell ref="AO13:AP13"/>
    <mergeCell ref="H11:H14"/>
    <mergeCell ref="I11:I14"/>
    <mergeCell ref="J11:N14"/>
    <mergeCell ref="O11:O14"/>
    <mergeCell ref="AC11:AD11"/>
    <mergeCell ref="AO11:AP11"/>
    <mergeCell ref="Q14:Q15"/>
    <mergeCell ref="R14:R15"/>
    <mergeCell ref="S14:S15"/>
    <mergeCell ref="T14:T15"/>
    <mergeCell ref="AA14:AA15"/>
    <mergeCell ref="AC14:AD14"/>
    <mergeCell ref="AO14:AO16"/>
    <mergeCell ref="AP14:AP16"/>
    <mergeCell ref="J15:N16"/>
    <mergeCell ref="O15:O16"/>
    <mergeCell ref="C10:D10"/>
    <mergeCell ref="AO10:AP10"/>
    <mergeCell ref="S8:S9"/>
    <mergeCell ref="T8:T9"/>
    <mergeCell ref="U8:U9"/>
    <mergeCell ref="V8:V9"/>
    <mergeCell ref="W8:W9"/>
    <mergeCell ref="X8:X9"/>
    <mergeCell ref="G5:G16"/>
    <mergeCell ref="H5:H6"/>
    <mergeCell ref="I5:I6"/>
    <mergeCell ref="J5:N6"/>
    <mergeCell ref="O5:O6"/>
    <mergeCell ref="AC15:AD15"/>
    <mergeCell ref="U14:U15"/>
    <mergeCell ref="V14:V15"/>
    <mergeCell ref="W14:W15"/>
    <mergeCell ref="X14:X15"/>
    <mergeCell ref="Y14:Y15"/>
    <mergeCell ref="Z14:Z15"/>
    <mergeCell ref="AC16:AD16"/>
    <mergeCell ref="H15:H16"/>
    <mergeCell ref="I15:I16"/>
    <mergeCell ref="AY6:AY7"/>
    <mergeCell ref="AZ6:AZ7"/>
    <mergeCell ref="A7:B8"/>
    <mergeCell ref="C7:D7"/>
    <mergeCell ref="H7:H10"/>
    <mergeCell ref="I7:I10"/>
    <mergeCell ref="J7:N10"/>
    <mergeCell ref="A6:B6"/>
    <mergeCell ref="C6:D6"/>
    <mergeCell ref="AO6:AP7"/>
    <mergeCell ref="AQ6:AQ7"/>
    <mergeCell ref="AR6:AR7"/>
    <mergeCell ref="AS6:AS7"/>
    <mergeCell ref="O7:O10"/>
    <mergeCell ref="C8:D8"/>
    <mergeCell ref="Q8:Q9"/>
    <mergeCell ref="R8:R9"/>
    <mergeCell ref="Y8:Y9"/>
    <mergeCell ref="Z8:Z9"/>
    <mergeCell ref="AA8:AA9"/>
    <mergeCell ref="AO8:AP8"/>
    <mergeCell ref="A9:B10"/>
    <mergeCell ref="C9:D9"/>
    <mergeCell ref="AO9:AP9"/>
    <mergeCell ref="AT6:AT7"/>
    <mergeCell ref="AU6:AU7"/>
    <mergeCell ref="AA4:AA5"/>
    <mergeCell ref="AC4:AD5"/>
    <mergeCell ref="AE4:AF4"/>
    <mergeCell ref="AG4:AJ4"/>
    <mergeCell ref="AK4:AM4"/>
    <mergeCell ref="AQ4:AQ5"/>
    <mergeCell ref="A2:D4"/>
    <mergeCell ref="AO2:AZ3"/>
    <mergeCell ref="H3:O3"/>
    <mergeCell ref="R3:AA3"/>
    <mergeCell ref="AF3:AM3"/>
    <mergeCell ref="H4:I4"/>
    <mergeCell ref="J4:N4"/>
    <mergeCell ref="R4:S4"/>
    <mergeCell ref="T4:W4"/>
    <mergeCell ref="X4:Z4"/>
    <mergeCell ref="AR4:AS4"/>
    <mergeCell ref="AT4:AW4"/>
    <mergeCell ref="AX4:AZ4"/>
    <mergeCell ref="AV6:AV7"/>
    <mergeCell ref="AW6:AW7"/>
    <mergeCell ref="AX6:AX7"/>
    <mergeCell ref="BH3:BH4"/>
    <mergeCell ref="BD5:BD24"/>
    <mergeCell ref="BE5:BE16"/>
    <mergeCell ref="BF5:BF6"/>
    <mergeCell ref="BG5:BG6"/>
    <mergeCell ref="BF7:BF10"/>
    <mergeCell ref="BG7:BG10"/>
    <mergeCell ref="BF11:BF14"/>
    <mergeCell ref="BG11:BG14"/>
    <mergeCell ref="BF15:BF16"/>
    <mergeCell ref="BG15:BG16"/>
    <mergeCell ref="BE17:BE24"/>
    <mergeCell ref="BF17:BF19"/>
    <mergeCell ref="BG17:BG19"/>
    <mergeCell ref="BF20:BF21"/>
    <mergeCell ref="BG20:BG21"/>
    <mergeCell ref="BF22:BF24"/>
    <mergeCell ref="BG22:BG24"/>
    <mergeCell ref="BH5:BH6"/>
    <mergeCell ref="BH7:BH10"/>
    <mergeCell ref="BI5:BI6"/>
    <mergeCell ref="BI7:BI10"/>
    <mergeCell ref="BH11:BH14"/>
    <mergeCell ref="BG33:BH33"/>
    <mergeCell ref="BG34:BH34"/>
    <mergeCell ref="BG35:BH35"/>
    <mergeCell ref="BG36:BH36"/>
    <mergeCell ref="BG37:BH37"/>
    <mergeCell ref="BG38:BH38"/>
    <mergeCell ref="BD25:BK28"/>
    <mergeCell ref="BF30:BF31"/>
    <mergeCell ref="BI30:BI31"/>
    <mergeCell ref="BG30:BH31"/>
    <mergeCell ref="BG32:BH32"/>
    <mergeCell ref="BH15:BH16"/>
    <mergeCell ref="BI11:BI14"/>
    <mergeCell ref="BJ11:BJ14"/>
    <mergeCell ref="BK11:BK14"/>
    <mergeCell ref="BI15:BI16"/>
    <mergeCell ref="BJ15:BJ16"/>
    <mergeCell ref="BK15:BK16"/>
    <mergeCell ref="BH17:BH19"/>
    <mergeCell ref="BI17:BI19"/>
    <mergeCell ref="BJ17:BJ19"/>
    <mergeCell ref="BK17:BK19"/>
    <mergeCell ref="BG57:BH57"/>
    <mergeCell ref="BG58:BH58"/>
    <mergeCell ref="BG59:BH59"/>
    <mergeCell ref="BG60:BH60"/>
    <mergeCell ref="BG61:BH61"/>
    <mergeCell ref="BG62:BH62"/>
    <mergeCell ref="BG63:BH63"/>
    <mergeCell ref="BG64:BH64"/>
    <mergeCell ref="BD47:BK50"/>
    <mergeCell ref="BF52:BF53"/>
    <mergeCell ref="BI52:BI53"/>
    <mergeCell ref="BD71:BK73"/>
    <mergeCell ref="BH20:BH21"/>
    <mergeCell ref="BI20:BI21"/>
    <mergeCell ref="BJ20:BJ21"/>
    <mergeCell ref="BK20:BK21"/>
    <mergeCell ref="BH22:BH24"/>
    <mergeCell ref="BI22:BI24"/>
    <mergeCell ref="BJ22:BJ24"/>
    <mergeCell ref="BK22:BK24"/>
    <mergeCell ref="BG66:BH66"/>
    <mergeCell ref="BG54:BH54"/>
    <mergeCell ref="BG55:BH55"/>
    <mergeCell ref="BG56:BH56"/>
    <mergeCell ref="BG52:BH53"/>
    <mergeCell ref="BG42:BH42"/>
    <mergeCell ref="BG43:BH43"/>
    <mergeCell ref="BG44:BH44"/>
    <mergeCell ref="BK69:BK70"/>
    <mergeCell ref="BD69:BJ70"/>
    <mergeCell ref="BD67:BK68"/>
    <mergeCell ref="BG65:BH65"/>
  </mergeCells>
  <hyperlinks>
    <hyperlink ref="A2" r:id="rId1"/>
  </hyperlinks>
  <pageMargins left="0.7" right="0.7" top="0.75" bottom="0.75" header="0.3" footer="0.3"/>
  <pageSetup paperSize="9" orientation="portrait" r:id="rId2"/>
  <ignoredErrors>
    <ignoredError sqref="AT20" 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workbookViewId="0">
      <selection activeCell="P42" sqref="P42:P43"/>
    </sheetView>
  </sheetViews>
  <sheetFormatPr baseColWidth="10" defaultRowHeight="12.75" x14ac:dyDescent="0.2"/>
  <cols>
    <col min="1" max="1" width="2.85546875" customWidth="1"/>
    <col min="2" max="2" width="4.85546875" customWidth="1"/>
    <col min="3" max="3" width="14.42578125" customWidth="1"/>
    <col min="4" max="4" width="14.7109375" bestFit="1" customWidth="1"/>
    <col min="5" max="5" width="6" customWidth="1"/>
    <col min="6" max="6" width="15.42578125" customWidth="1"/>
    <col min="7" max="7" width="15.85546875" customWidth="1"/>
    <col min="8" max="8" width="19.28515625" customWidth="1"/>
    <col min="9" max="9" width="2.140625" customWidth="1"/>
    <col min="10" max="10" width="2.5703125" customWidth="1"/>
    <col min="12" max="12" width="13.7109375" customWidth="1"/>
    <col min="13" max="13" width="5.7109375" customWidth="1"/>
    <col min="14" max="14" width="6.28515625" customWidth="1"/>
    <col min="15" max="15" width="12" bestFit="1" customWidth="1"/>
    <col min="16" max="16" width="11.7109375" customWidth="1"/>
    <col min="17" max="17" width="13.85546875" customWidth="1"/>
    <col min="18" max="18" width="15.85546875" customWidth="1"/>
    <col min="19" max="19" width="10" customWidth="1"/>
    <col min="20" max="20" width="5.140625" customWidth="1"/>
    <col min="21" max="22" width="12.28515625" bestFit="1" customWidth="1"/>
    <col min="24" max="24" width="12" bestFit="1" customWidth="1"/>
    <col min="25" max="25" width="14.140625" bestFit="1" customWidth="1"/>
    <col min="26" max="26" width="14.5703125" customWidth="1"/>
    <col min="27" max="27" width="12.28515625" customWidth="1"/>
    <col min="28" max="28" width="10.140625" customWidth="1"/>
  </cols>
  <sheetData>
    <row r="1" spans="1:28" x14ac:dyDescent="0.2">
      <c r="A1" s="5" t="s">
        <v>144</v>
      </c>
      <c r="B1" s="5"/>
      <c r="C1" s="5"/>
    </row>
    <row r="3" spans="1:28" ht="12.75" customHeight="1" x14ac:dyDescent="0.2">
      <c r="A3" s="5" t="s">
        <v>168</v>
      </c>
      <c r="B3" s="5"/>
      <c r="C3" s="5"/>
      <c r="D3" s="5"/>
      <c r="E3" s="5"/>
      <c r="F3" s="5"/>
      <c r="G3" s="5"/>
    </row>
    <row r="4" spans="1:28" ht="13.5" thickBot="1" x14ac:dyDescent="0.25">
      <c r="G4" s="86"/>
      <c r="H4" s="86"/>
    </row>
    <row r="5" spans="1:28" ht="15" x14ac:dyDescent="0.2">
      <c r="E5" s="200" t="s">
        <v>147</v>
      </c>
      <c r="F5" s="112" t="s">
        <v>164</v>
      </c>
      <c r="G5" s="112" t="s">
        <v>165</v>
      </c>
      <c r="H5" s="113" t="s">
        <v>0</v>
      </c>
      <c r="L5" s="324" t="s">
        <v>213</v>
      </c>
      <c r="M5" s="324"/>
      <c r="N5" s="324"/>
      <c r="O5" s="324"/>
      <c r="P5" s="324"/>
      <c r="Q5" s="324"/>
      <c r="R5" s="324"/>
      <c r="S5" s="324"/>
    </row>
    <row r="6" spans="1:28" ht="12.75" customHeight="1" thickBot="1" x14ac:dyDescent="0.25">
      <c r="E6" s="201"/>
      <c r="F6" s="114" t="s">
        <v>163</v>
      </c>
      <c r="G6" s="114" t="s">
        <v>166</v>
      </c>
      <c r="H6" s="115" t="s">
        <v>167</v>
      </c>
      <c r="L6" s="230" t="s">
        <v>145</v>
      </c>
      <c r="M6" s="230"/>
      <c r="N6" s="230"/>
      <c r="O6" s="230"/>
      <c r="P6" s="230"/>
      <c r="Q6" s="230"/>
      <c r="R6" s="230"/>
      <c r="S6" s="230"/>
      <c r="U6" s="324" t="s">
        <v>213</v>
      </c>
      <c r="V6" s="324"/>
      <c r="W6" s="324"/>
      <c r="X6" s="324"/>
      <c r="Y6" s="324"/>
      <c r="Z6" s="324"/>
      <c r="AA6" s="324"/>
      <c r="AB6" s="324"/>
    </row>
    <row r="7" spans="1:28" ht="12.75" customHeight="1" x14ac:dyDescent="0.2">
      <c r="A7" s="425" t="s">
        <v>13</v>
      </c>
      <c r="B7" s="420" t="s">
        <v>162</v>
      </c>
      <c r="C7" s="205" t="s">
        <v>4</v>
      </c>
      <c r="D7" s="207" t="s">
        <v>21</v>
      </c>
      <c r="E7" s="221" t="s">
        <v>170</v>
      </c>
      <c r="F7" s="391">
        <f>'Canary II Enunciado'!BI5</f>
        <v>1753374</v>
      </c>
      <c r="G7" s="431">
        <f>D43</f>
        <v>605144.23354438867</v>
      </c>
      <c r="H7" s="433">
        <f>D44</f>
        <v>1148229.7664556112</v>
      </c>
      <c r="U7" s="230" t="s">
        <v>146</v>
      </c>
      <c r="V7" s="230"/>
      <c r="W7" s="230"/>
      <c r="X7" s="230"/>
      <c r="Y7" s="230"/>
      <c r="Z7" s="230"/>
      <c r="AA7" s="230"/>
      <c r="AB7" s="230"/>
    </row>
    <row r="8" spans="1:28" ht="12.75" customHeight="1" x14ac:dyDescent="0.2">
      <c r="A8" s="426"/>
      <c r="B8" s="421"/>
      <c r="C8" s="206"/>
      <c r="D8" s="208"/>
      <c r="E8" s="222"/>
      <c r="F8" s="393"/>
      <c r="G8" s="432"/>
      <c r="H8" s="429"/>
      <c r="L8" s="2"/>
      <c r="M8" s="2"/>
      <c r="N8" s="325" t="s">
        <v>147</v>
      </c>
      <c r="O8" s="328" t="s">
        <v>1</v>
      </c>
      <c r="P8" s="328" t="s">
        <v>74</v>
      </c>
      <c r="Q8" s="328" t="s">
        <v>76</v>
      </c>
      <c r="R8" s="328" t="s">
        <v>98</v>
      </c>
      <c r="S8" s="321" t="s">
        <v>119</v>
      </c>
      <c r="U8" s="2"/>
      <c r="V8" s="2"/>
      <c r="X8" s="331" t="s">
        <v>1</v>
      </c>
      <c r="Y8" s="331" t="s">
        <v>74</v>
      </c>
      <c r="Z8" s="328" t="s">
        <v>76</v>
      </c>
      <c r="AA8" s="328" t="s">
        <v>220</v>
      </c>
      <c r="AB8" s="321" t="s">
        <v>119</v>
      </c>
    </row>
    <row r="9" spans="1:28" x14ac:dyDescent="0.2">
      <c r="A9" s="426"/>
      <c r="B9" s="421"/>
      <c r="C9" s="209" t="s">
        <v>37</v>
      </c>
      <c r="D9" s="386" t="s">
        <v>26</v>
      </c>
      <c r="E9" s="159" t="s">
        <v>187</v>
      </c>
      <c r="F9" s="434">
        <f>'Canary II Enunciado'!BI7</f>
        <v>436965</v>
      </c>
      <c r="G9" s="126">
        <f>'Canary II Enunciado'!BK45</f>
        <v>0.9</v>
      </c>
      <c r="H9" s="127">
        <f>1-G9</f>
        <v>9.9999999999999978E-2</v>
      </c>
      <c r="L9" s="2"/>
      <c r="M9" s="2"/>
      <c r="N9" s="326"/>
      <c r="O9" s="329"/>
      <c r="P9" s="329"/>
      <c r="Q9" s="329"/>
      <c r="R9" s="329"/>
      <c r="S9" s="322"/>
      <c r="U9" s="2"/>
      <c r="V9" s="2"/>
      <c r="X9" s="332"/>
      <c r="Y9" s="332"/>
      <c r="Z9" s="329"/>
      <c r="AA9" s="329"/>
      <c r="AB9" s="322"/>
    </row>
    <row r="10" spans="1:28" x14ac:dyDescent="0.2">
      <c r="A10" s="426"/>
      <c r="B10" s="421"/>
      <c r="C10" s="210"/>
      <c r="D10" s="387"/>
      <c r="E10" s="167"/>
      <c r="F10" s="435"/>
      <c r="G10" s="129">
        <f>F9*G9</f>
        <v>393268.5</v>
      </c>
      <c r="H10" s="128">
        <f>H9*F9</f>
        <v>43696.499999999993</v>
      </c>
      <c r="L10" s="2"/>
      <c r="M10" s="2"/>
      <c r="N10" s="327"/>
      <c r="O10" s="330"/>
      <c r="P10" s="330"/>
      <c r="Q10" s="330"/>
      <c r="R10" s="330"/>
      <c r="S10" s="323"/>
      <c r="U10" s="2"/>
      <c r="V10" s="2"/>
      <c r="X10" s="333"/>
      <c r="Y10" s="333"/>
      <c r="Z10" s="330"/>
      <c r="AA10" s="330"/>
      <c r="AB10" s="323"/>
    </row>
    <row r="11" spans="1:28" ht="12.75" customHeight="1" x14ac:dyDescent="0.2">
      <c r="A11" s="426"/>
      <c r="B11" s="421"/>
      <c r="C11" s="209" t="s">
        <v>52</v>
      </c>
      <c r="D11" s="386" t="s">
        <v>27</v>
      </c>
      <c r="E11" s="159" t="s">
        <v>188</v>
      </c>
      <c r="F11" s="434">
        <f>'Canary II Enunciado'!BI11</f>
        <v>1092172</v>
      </c>
      <c r="G11" s="413">
        <f>D63</f>
        <v>795775.83787575178</v>
      </c>
      <c r="H11" s="418">
        <f>D62</f>
        <v>296396.16212424828</v>
      </c>
      <c r="L11" s="342" t="s">
        <v>148</v>
      </c>
      <c r="M11" s="343"/>
      <c r="N11" s="344"/>
      <c r="O11" s="63"/>
      <c r="P11" s="63">
        <f>'Canary II Enunciado'!C12</f>
        <v>157500</v>
      </c>
      <c r="Q11" s="356">
        <f>'Canary II Enunciado'!BG66</f>
        <v>948725</v>
      </c>
      <c r="R11" s="157"/>
      <c r="S11" s="64"/>
      <c r="U11" s="342" t="s">
        <v>148</v>
      </c>
      <c r="V11" s="343"/>
      <c r="W11" s="343"/>
      <c r="X11" s="63"/>
      <c r="Y11" s="63">
        <f>P11</f>
        <v>157500</v>
      </c>
      <c r="Z11" s="354">
        <f>Q11</f>
        <v>948725</v>
      </c>
      <c r="AA11" s="64"/>
      <c r="AB11" s="64"/>
    </row>
    <row r="12" spans="1:28" x14ac:dyDescent="0.2">
      <c r="A12" s="426"/>
      <c r="B12" s="421"/>
      <c r="C12" s="210"/>
      <c r="D12" s="387"/>
      <c r="E12" s="167"/>
      <c r="F12" s="435"/>
      <c r="G12" s="428"/>
      <c r="H12" s="429"/>
      <c r="L12" s="345"/>
      <c r="M12" s="346"/>
      <c r="N12" s="347"/>
      <c r="O12" s="65"/>
      <c r="P12" s="65">
        <f>'Canary II Enunciado'!C13</f>
        <v>315000</v>
      </c>
      <c r="Q12" s="357"/>
      <c r="R12" s="156"/>
      <c r="S12" s="66"/>
      <c r="U12" s="345"/>
      <c r="V12" s="346"/>
      <c r="W12" s="346"/>
      <c r="X12" s="65"/>
      <c r="Y12" s="65">
        <f>P12</f>
        <v>315000</v>
      </c>
      <c r="Z12" s="355"/>
      <c r="AA12" s="66"/>
      <c r="AB12" s="66"/>
    </row>
    <row r="13" spans="1:28" ht="13.5" customHeight="1" x14ac:dyDescent="0.25">
      <c r="A13" s="426"/>
      <c r="B13" s="421"/>
      <c r="C13" s="209" t="s">
        <v>70</v>
      </c>
      <c r="D13" s="211" t="s">
        <v>28</v>
      </c>
      <c r="E13" s="159" t="s">
        <v>193</v>
      </c>
      <c r="F13" s="415">
        <f>'Canary II Enunciado'!BI15</f>
        <v>67110</v>
      </c>
      <c r="G13" s="417">
        <f>F13</f>
        <v>67110</v>
      </c>
      <c r="H13" s="418"/>
      <c r="L13" s="348" t="s">
        <v>211</v>
      </c>
      <c r="M13" s="349"/>
      <c r="N13" s="350"/>
      <c r="O13" s="67">
        <f>O14+O16+O18+O20</f>
        <v>1144595</v>
      </c>
      <c r="P13" s="67">
        <f>P14+P16+P18+P20</f>
        <v>0</v>
      </c>
      <c r="Q13" s="67">
        <f>Q14+Q16+Q18+Q20</f>
        <v>1008295</v>
      </c>
      <c r="R13" s="67">
        <f>R14+R16+R18+R20</f>
        <v>0</v>
      </c>
      <c r="S13" s="67">
        <f>S14+S16+S18+S20</f>
        <v>136300</v>
      </c>
      <c r="U13" s="351" t="s">
        <v>149</v>
      </c>
      <c r="V13" s="352"/>
      <c r="W13" s="352"/>
      <c r="X13" s="68">
        <f>SUM(Y13:AB13)</f>
        <v>8529450</v>
      </c>
      <c r="Y13" s="69">
        <f>'Canary II Enunciado'!C18</f>
        <v>7875000</v>
      </c>
      <c r="Z13" s="103">
        <f>'Canary II Enunciado'!C19</f>
        <v>472500</v>
      </c>
      <c r="AA13" s="103">
        <f>'Canary II Enunciado'!C23</f>
        <v>56700</v>
      </c>
      <c r="AB13" s="103">
        <f>'Canary II Enunciado'!C30</f>
        <v>125250</v>
      </c>
    </row>
    <row r="14" spans="1:28" ht="13.5" thickBot="1" x14ac:dyDescent="0.25">
      <c r="A14" s="426"/>
      <c r="B14" s="422"/>
      <c r="C14" s="214"/>
      <c r="D14" s="215"/>
      <c r="E14" s="168"/>
      <c r="F14" s="416"/>
      <c r="G14" s="172"/>
      <c r="H14" s="419"/>
      <c r="L14" s="334" t="s">
        <v>106</v>
      </c>
      <c r="M14" s="335"/>
      <c r="N14" s="238" t="s">
        <v>150</v>
      </c>
      <c r="O14" s="304">
        <f>'Canary II Enunciado'!T23</f>
        <v>922500</v>
      </c>
      <c r="P14" s="71"/>
      <c r="Q14" s="304">
        <f>O14</f>
        <v>922500</v>
      </c>
      <c r="R14" s="71"/>
      <c r="S14" s="71"/>
      <c r="U14" s="338" t="s">
        <v>215</v>
      </c>
      <c r="V14" s="339"/>
      <c r="W14" s="339"/>
      <c r="X14" s="72">
        <f>SUM(Y14:AB14)</f>
        <v>2632917.4285798594</v>
      </c>
      <c r="Y14" s="73">
        <f>P22</f>
        <v>1185371.7914556111</v>
      </c>
      <c r="Z14" s="105">
        <f>Q32</f>
        <v>1309060.8121242484</v>
      </c>
      <c r="AA14" s="105">
        <f>R32</f>
        <v>2184.8249999999998</v>
      </c>
      <c r="AB14" s="105">
        <f>S32</f>
        <v>136300</v>
      </c>
    </row>
    <row r="15" spans="1:28" x14ac:dyDescent="0.2">
      <c r="A15" s="426"/>
      <c r="B15" s="202" t="s">
        <v>198</v>
      </c>
      <c r="C15" s="205" t="s">
        <v>78</v>
      </c>
      <c r="D15" s="380" t="s">
        <v>29</v>
      </c>
      <c r="E15" s="383" t="s">
        <v>195</v>
      </c>
      <c r="F15" s="391">
        <f>'Canary II Enunciado'!BI17</f>
        <v>401198</v>
      </c>
      <c r="G15" s="394">
        <f>F15-H15</f>
        <v>276198</v>
      </c>
      <c r="H15" s="397">
        <f>'Canary II Enunciado'!BK69</f>
        <v>125000</v>
      </c>
      <c r="L15" s="336"/>
      <c r="M15" s="337"/>
      <c r="N15" s="353"/>
      <c r="O15" s="305"/>
      <c r="P15" s="74"/>
      <c r="Q15" s="305"/>
      <c r="R15" s="74"/>
      <c r="S15" s="74"/>
      <c r="U15" s="340" t="s">
        <v>151</v>
      </c>
      <c r="V15" s="341"/>
      <c r="W15" s="341"/>
      <c r="X15" s="75">
        <f>X13-X14</f>
        <v>5896532.5714201406</v>
      </c>
      <c r="Y15" s="75">
        <f>Y13-Y14</f>
        <v>6689628.2085443884</v>
      </c>
      <c r="Z15" s="75">
        <f>Z13-Z14</f>
        <v>-836560.81212424836</v>
      </c>
      <c r="AA15" s="75">
        <f>AA13-AA14</f>
        <v>54515.175000000003</v>
      </c>
      <c r="AB15" s="75">
        <f>AB13-AB14</f>
        <v>-11050</v>
      </c>
    </row>
    <row r="16" spans="1:28" x14ac:dyDescent="0.2">
      <c r="A16" s="426"/>
      <c r="B16" s="203"/>
      <c r="C16" s="210"/>
      <c r="D16" s="381"/>
      <c r="E16" s="384"/>
      <c r="F16" s="392"/>
      <c r="G16" s="395"/>
      <c r="H16" s="398"/>
      <c r="L16" s="334" t="s">
        <v>122</v>
      </c>
      <c r="M16" s="335"/>
      <c r="N16" s="238" t="s">
        <v>150</v>
      </c>
      <c r="O16" s="304">
        <f>'Canary II Enunciado'!T28</f>
        <v>64900</v>
      </c>
      <c r="P16" s="71"/>
      <c r="Q16" s="304">
        <f>O16</f>
        <v>64900</v>
      </c>
      <c r="R16" s="71"/>
      <c r="S16" s="71"/>
      <c r="U16" s="358" t="str">
        <f>C15</f>
        <v>Comercial Reservas y Facturación</v>
      </c>
      <c r="V16" s="359"/>
      <c r="W16" s="360"/>
      <c r="X16" s="142">
        <f>SUM(Y16:AB16)</f>
        <v>1</v>
      </c>
      <c r="Y16" s="143">
        <f>Y13/$X$13</f>
        <v>0.92327172326468876</v>
      </c>
      <c r="Z16" s="143">
        <f t="shared" ref="Z16:AB16" si="0">Z13/$X$13</f>
        <v>5.5396303395881329E-2</v>
      </c>
      <c r="AA16" s="143">
        <f t="shared" si="0"/>
        <v>6.6475564075057598E-3</v>
      </c>
      <c r="AB16" s="143">
        <f t="shared" si="0"/>
        <v>1.4684416931924099E-2</v>
      </c>
    </row>
    <row r="17" spans="1:28" ht="12.75" customHeight="1" x14ac:dyDescent="0.2">
      <c r="A17" s="426"/>
      <c r="B17" s="203"/>
      <c r="C17" s="206"/>
      <c r="D17" s="382"/>
      <c r="E17" s="385"/>
      <c r="F17" s="393"/>
      <c r="G17" s="396"/>
      <c r="H17" s="399"/>
      <c r="L17" s="336"/>
      <c r="M17" s="337"/>
      <c r="N17" s="353"/>
      <c r="O17" s="305"/>
      <c r="P17" s="74"/>
      <c r="Q17" s="305"/>
      <c r="R17" s="74"/>
      <c r="S17" s="74"/>
      <c r="U17" s="361" t="s">
        <v>214</v>
      </c>
      <c r="V17" s="362"/>
      <c r="W17" s="363"/>
      <c r="X17" s="72">
        <f>H15</f>
        <v>125000</v>
      </c>
      <c r="Y17" s="72">
        <f>Y16*$X$17</f>
        <v>115408.96540808609</v>
      </c>
      <c r="Z17" s="72">
        <f t="shared" ref="Z17:AB17" si="1">Z16*$X$17</f>
        <v>6924.5379244851665</v>
      </c>
      <c r="AA17" s="72">
        <f t="shared" si="1"/>
        <v>830.94455093822</v>
      </c>
      <c r="AB17" s="72">
        <f t="shared" si="1"/>
        <v>1835.5521164905124</v>
      </c>
    </row>
    <row r="18" spans="1:28" ht="12.75" customHeight="1" x14ac:dyDescent="0.2">
      <c r="A18" s="426"/>
      <c r="B18" s="203"/>
      <c r="C18" s="209" t="s">
        <v>88</v>
      </c>
      <c r="D18" s="386" t="s">
        <v>30</v>
      </c>
      <c r="E18" s="389" t="s">
        <v>196</v>
      </c>
      <c r="F18" s="415">
        <f>'Canary II Enunciado'!BI20</f>
        <v>215091</v>
      </c>
      <c r="G18" s="413">
        <f>F18</f>
        <v>215091</v>
      </c>
      <c r="H18" s="165"/>
      <c r="L18" s="334" t="s">
        <v>125</v>
      </c>
      <c r="M18" s="335"/>
      <c r="N18" s="238" t="s">
        <v>150</v>
      </c>
      <c r="O18" s="304">
        <f>'Canary II Enunciado'!T30</f>
        <v>20895</v>
      </c>
      <c r="P18" s="71"/>
      <c r="Q18" s="304">
        <f>O18</f>
        <v>20895</v>
      </c>
      <c r="R18" s="71"/>
      <c r="S18" s="71"/>
      <c r="U18" s="364" t="s">
        <v>6</v>
      </c>
      <c r="V18" s="365"/>
      <c r="W18" s="366"/>
      <c r="X18" s="75">
        <f>X15-X17</f>
        <v>5771532.5714201406</v>
      </c>
      <c r="Y18" s="75">
        <f t="shared" ref="Y18:AB18" si="2">Y15-Y17</f>
        <v>6574219.2431363026</v>
      </c>
      <c r="Z18" s="75">
        <f t="shared" si="2"/>
        <v>-843485.35004873353</v>
      </c>
      <c r="AA18" s="75">
        <f t="shared" si="2"/>
        <v>53684.230449061783</v>
      </c>
      <c r="AB18" s="75">
        <f t="shared" si="2"/>
        <v>-12885.552116490513</v>
      </c>
    </row>
    <row r="19" spans="1:28" ht="12.75" customHeight="1" x14ac:dyDescent="0.25">
      <c r="A19" s="426"/>
      <c r="B19" s="203"/>
      <c r="C19" s="206"/>
      <c r="D19" s="437"/>
      <c r="E19" s="385"/>
      <c r="F19" s="393"/>
      <c r="G19" s="396"/>
      <c r="H19" s="166"/>
      <c r="L19" s="336"/>
      <c r="M19" s="337"/>
      <c r="N19" s="353"/>
      <c r="O19" s="305"/>
      <c r="P19" s="74"/>
      <c r="Q19" s="305"/>
      <c r="R19" s="74"/>
      <c r="S19" s="74"/>
      <c r="U19" s="144" t="s">
        <v>5</v>
      </c>
      <c r="V19" s="145"/>
      <c r="W19" s="148"/>
      <c r="X19" s="71"/>
      <c r="Y19" s="71"/>
      <c r="Z19" s="71"/>
      <c r="AA19" s="71"/>
      <c r="AB19" s="71"/>
    </row>
    <row r="20" spans="1:28" x14ac:dyDescent="0.2">
      <c r="A20" s="426"/>
      <c r="B20" s="203"/>
      <c r="C20" s="209" t="s">
        <v>102</v>
      </c>
      <c r="D20" s="386" t="s">
        <v>31</v>
      </c>
      <c r="E20" s="389" t="s">
        <v>196</v>
      </c>
      <c r="F20" s="415">
        <f>'Canary II Enunciado'!BI22</f>
        <v>351738</v>
      </c>
      <c r="G20" s="413">
        <f>F20</f>
        <v>351738</v>
      </c>
      <c r="H20" s="173"/>
      <c r="L20" s="334" t="s">
        <v>127</v>
      </c>
      <c r="M20" s="335"/>
      <c r="N20" s="238" t="s">
        <v>150</v>
      </c>
      <c r="O20" s="304">
        <f>'Canary II Enunciado'!T31</f>
        <v>136300</v>
      </c>
      <c r="P20" s="71"/>
      <c r="Q20" s="71"/>
      <c r="R20" s="71"/>
      <c r="S20" s="304">
        <f>O20</f>
        <v>136300</v>
      </c>
      <c r="U20" s="367" t="str">
        <f>C7</f>
        <v>Habitaciones</v>
      </c>
      <c r="V20" s="368"/>
      <c r="W20" s="369"/>
      <c r="X20" s="72">
        <f>G7</f>
        <v>605144.23354438867</v>
      </c>
      <c r="Y20" s="72">
        <f>X20</f>
        <v>605144.23354438867</v>
      </c>
      <c r="Z20" s="150"/>
      <c r="AA20" s="150"/>
      <c r="AB20" s="150"/>
    </row>
    <row r="21" spans="1:28" x14ac:dyDescent="0.2">
      <c r="A21" s="426"/>
      <c r="B21" s="203"/>
      <c r="C21" s="210"/>
      <c r="D21" s="387"/>
      <c r="E21" s="384"/>
      <c r="F21" s="392"/>
      <c r="G21" s="395"/>
      <c r="H21" s="174"/>
      <c r="L21" s="336"/>
      <c r="M21" s="337"/>
      <c r="N21" s="353"/>
      <c r="O21" s="305"/>
      <c r="P21" s="74"/>
      <c r="Q21" s="74"/>
      <c r="R21" s="74"/>
      <c r="S21" s="305"/>
      <c r="U21" s="367" t="str">
        <f>C9</f>
        <v>Recepción</v>
      </c>
      <c r="V21" s="368"/>
      <c r="W21" s="369"/>
      <c r="X21" s="149">
        <f>SUM(Y21:AB21)</f>
        <v>1</v>
      </c>
      <c r="Y21" s="149">
        <f>P26</f>
        <v>0.85</v>
      </c>
      <c r="Z21" s="149">
        <f>Q26</f>
        <v>0.1</v>
      </c>
      <c r="AA21" s="149">
        <f>R26</f>
        <v>0.05</v>
      </c>
      <c r="AB21" s="1"/>
    </row>
    <row r="22" spans="1:28" ht="12.75" customHeight="1" thickBot="1" x14ac:dyDescent="0.25">
      <c r="A22" s="427"/>
      <c r="B22" s="204"/>
      <c r="C22" s="214"/>
      <c r="D22" s="388"/>
      <c r="E22" s="390"/>
      <c r="F22" s="416"/>
      <c r="G22" s="436"/>
      <c r="H22" s="175"/>
      <c r="L22" s="376" t="s">
        <v>212</v>
      </c>
      <c r="M22" s="377"/>
      <c r="N22" s="378"/>
      <c r="O22" s="379">
        <f>O24+O27+O28+O30</f>
        <v>1488322.4285798594</v>
      </c>
      <c r="P22" s="379">
        <f>P24+P27+P28+P30</f>
        <v>1185371.7914556111</v>
      </c>
      <c r="Q22" s="379">
        <f>Q24+Q27+Q28+Q30</f>
        <v>300765.8121242483</v>
      </c>
      <c r="R22" s="379">
        <f>R24+R27+R28+R30</f>
        <v>2184.8249999999998</v>
      </c>
      <c r="S22" s="379">
        <f>S24+S27+S28+S30</f>
        <v>0</v>
      </c>
      <c r="U22" s="367"/>
      <c r="V22" s="368"/>
      <c r="W22" s="369"/>
      <c r="X22" s="72">
        <f>G10</f>
        <v>393268.5</v>
      </c>
      <c r="Y22" s="72">
        <f>$X$22*Y21</f>
        <v>334278.22499999998</v>
      </c>
      <c r="Z22" s="72">
        <f t="shared" ref="Z22:AB22" si="3">$X$22*Z21</f>
        <v>39326.850000000006</v>
      </c>
      <c r="AA22" s="72">
        <f t="shared" si="3"/>
        <v>19663.425000000003</v>
      </c>
      <c r="AB22" s="72">
        <f t="shared" si="3"/>
        <v>0</v>
      </c>
    </row>
    <row r="23" spans="1:28" x14ac:dyDescent="0.2">
      <c r="A23" s="136"/>
      <c r="L23" s="376"/>
      <c r="M23" s="377"/>
      <c r="N23" s="378"/>
      <c r="O23" s="379"/>
      <c r="P23" s="379"/>
      <c r="Q23" s="379"/>
      <c r="R23" s="379"/>
      <c r="S23" s="379"/>
      <c r="U23" s="367" t="str">
        <f>C11</f>
        <v>Restauración food &amp; beverage</v>
      </c>
      <c r="V23" s="368"/>
      <c r="W23" s="369"/>
      <c r="X23" s="72">
        <f>G11</f>
        <v>795775.83787575178</v>
      </c>
      <c r="Y23" s="72"/>
      <c r="Z23" s="72">
        <f>X23</f>
        <v>795775.83787575178</v>
      </c>
      <c r="AA23" s="72"/>
      <c r="AB23" s="72"/>
    </row>
    <row r="24" spans="1:28" ht="12.75" customHeight="1" x14ac:dyDescent="0.2">
      <c r="A24" s="136"/>
      <c r="L24" s="404" t="s">
        <v>4</v>
      </c>
      <c r="M24" s="406" t="str">
        <f>'[1]Canary II Enunciado'!I5</f>
        <v>HAB</v>
      </c>
      <c r="N24" s="408"/>
      <c r="O24" s="370">
        <f>H7</f>
        <v>1148229.7664556112</v>
      </c>
      <c r="P24" s="370">
        <f>O24</f>
        <v>1148229.7664556112</v>
      </c>
      <c r="Q24" s="71"/>
      <c r="R24" s="71"/>
      <c r="S24" s="71"/>
      <c r="U24" s="367" t="str">
        <f>C13</f>
        <v>Tiendas - Supermercado</v>
      </c>
      <c r="V24" s="368"/>
      <c r="W24" s="369"/>
      <c r="X24" s="72">
        <f>G13</f>
        <v>67110</v>
      </c>
      <c r="Y24" s="1"/>
      <c r="Z24" s="1"/>
      <c r="AA24" s="1"/>
      <c r="AB24" s="72">
        <f>X24</f>
        <v>67110</v>
      </c>
    </row>
    <row r="25" spans="1:28" x14ac:dyDescent="0.2">
      <c r="A25" s="136"/>
      <c r="L25" s="405"/>
      <c r="M25" s="407"/>
      <c r="N25" s="409"/>
      <c r="O25" s="375"/>
      <c r="P25" s="371"/>
      <c r="Q25" s="74"/>
      <c r="R25" s="74"/>
      <c r="S25" s="74"/>
      <c r="U25" s="372" t="s">
        <v>216</v>
      </c>
      <c r="V25" s="373"/>
      <c r="W25" s="374"/>
      <c r="X25" s="75">
        <f>SUM(Y25:AB25)</f>
        <v>3910234</v>
      </c>
      <c r="Y25" s="75">
        <f>Y18-Y20-Y22-Y23-Y24</f>
        <v>5634796.7845919142</v>
      </c>
      <c r="Z25" s="75">
        <f t="shared" ref="Z25:AB25" si="4">Z18-Z20-Z22-Z23-Z24</f>
        <v>-1678588.0379244853</v>
      </c>
      <c r="AA25" s="75">
        <f t="shared" si="4"/>
        <v>34020.80544906178</v>
      </c>
      <c r="AB25" s="75">
        <f t="shared" si="4"/>
        <v>-79995.552116490508</v>
      </c>
    </row>
    <row r="26" spans="1:28" ht="13.5" x14ac:dyDescent="0.25">
      <c r="L26" s="404" t="s">
        <v>37</v>
      </c>
      <c r="M26" s="406" t="str">
        <f>'[1]Canary II Enunciado'!I7</f>
        <v>REC</v>
      </c>
      <c r="N26" s="137"/>
      <c r="O26" s="140">
        <f>SUM(P26:S26)</f>
        <v>1</v>
      </c>
      <c r="P26" s="78">
        <v>0.85</v>
      </c>
      <c r="Q26" s="77">
        <v>0.1</v>
      </c>
      <c r="R26" s="77">
        <v>0.05</v>
      </c>
      <c r="S26" s="71"/>
      <c r="U26" s="151" t="s">
        <v>217</v>
      </c>
      <c r="V26" s="146"/>
      <c r="W26" s="147"/>
      <c r="X26" s="70"/>
    </row>
    <row r="27" spans="1:28" x14ac:dyDescent="0.2">
      <c r="L27" s="405"/>
      <c r="M27" s="407"/>
      <c r="N27" s="138"/>
      <c r="O27" s="104">
        <f>H10</f>
        <v>43696.499999999993</v>
      </c>
      <c r="P27" s="139">
        <f>P26*$O$27</f>
        <v>37142.024999999994</v>
      </c>
      <c r="Q27" s="79">
        <f>Q26*$O$27</f>
        <v>4369.6499999999996</v>
      </c>
      <c r="R27" s="79">
        <f>R26*$O$27</f>
        <v>2184.8249999999998</v>
      </c>
      <c r="S27" s="74"/>
      <c r="U27" s="367" t="str">
        <f xml:space="preserve"> C15</f>
        <v>Comercial Reservas y Facturación</v>
      </c>
      <c r="V27" s="368"/>
      <c r="W27" s="369"/>
      <c r="X27" s="141">
        <f>G15</f>
        <v>276198</v>
      </c>
    </row>
    <row r="28" spans="1:28" ht="12.75" customHeight="1" x14ac:dyDescent="0.2">
      <c r="B28" s="90" t="str">
        <f>E7</f>
        <v>(8a)</v>
      </c>
      <c r="C28" s="430" t="s">
        <v>201</v>
      </c>
      <c r="D28" s="430"/>
      <c r="E28" s="118"/>
      <c r="L28" s="404" t="s">
        <v>52</v>
      </c>
      <c r="M28" s="406" t="str">
        <f>'[1]Canary II Enunciado'!I11</f>
        <v>RES</v>
      </c>
      <c r="N28" s="408"/>
      <c r="O28" s="375">
        <f>H11</f>
        <v>296396.16212424828</v>
      </c>
      <c r="P28" s="80"/>
      <c r="Q28" s="304">
        <f>O28</f>
        <v>296396.16212424828</v>
      </c>
      <c r="R28" s="71"/>
      <c r="S28" s="71"/>
      <c r="U28" s="367" t="str">
        <f>C18</f>
        <v>Dirección Ejecutiva</v>
      </c>
      <c r="V28" s="368"/>
      <c r="W28" s="369"/>
      <c r="X28" s="141">
        <f>G18</f>
        <v>215091</v>
      </c>
    </row>
    <row r="29" spans="1:28" x14ac:dyDescent="0.2">
      <c r="B29" s="120" t="s">
        <v>207</v>
      </c>
      <c r="C29" s="120"/>
      <c r="D29" s="120"/>
      <c r="E29" s="116"/>
      <c r="L29" s="405"/>
      <c r="M29" s="407"/>
      <c r="N29" s="409"/>
      <c r="O29" s="371"/>
      <c r="P29" s="74"/>
      <c r="Q29" s="305"/>
      <c r="R29" s="74"/>
      <c r="S29" s="74"/>
      <c r="U29" s="367" t="str">
        <f>C20</f>
        <v>Administración Contabilidad y Finanzas</v>
      </c>
      <c r="V29" s="368"/>
      <c r="W29" s="369"/>
      <c r="X29" s="141">
        <f>G20</f>
        <v>351738</v>
      </c>
    </row>
    <row r="30" spans="1:28" ht="13.5" x14ac:dyDescent="0.25">
      <c r="C30" s="117">
        <f>'Canary II Enunciado'!BG44</f>
        <v>315000</v>
      </c>
      <c r="D30" s="94">
        <f>'Canary II Enunciado'!BI44</f>
        <v>1753374.999063537</v>
      </c>
      <c r="L30" s="404" t="s">
        <v>70</v>
      </c>
      <c r="M30" s="406" t="str">
        <f>'[1]Canary II Enunciado'!I15</f>
        <v>TIE</v>
      </c>
      <c r="N30" s="408"/>
      <c r="O30" s="370">
        <f>H13</f>
        <v>0</v>
      </c>
      <c r="P30" s="71"/>
      <c r="Q30" s="71"/>
      <c r="R30" s="71"/>
      <c r="S30" s="304">
        <f>O30</f>
        <v>0</v>
      </c>
      <c r="U30" s="400" t="s">
        <v>218</v>
      </c>
      <c r="V30" s="401"/>
      <c r="W30" s="402"/>
      <c r="X30" s="152">
        <f>SUM(X27:X29)</f>
        <v>843027</v>
      </c>
    </row>
    <row r="31" spans="1:28" x14ac:dyDescent="0.2">
      <c r="C31" s="414" t="s">
        <v>199</v>
      </c>
      <c r="D31" s="414"/>
      <c r="L31" s="405"/>
      <c r="M31" s="407"/>
      <c r="N31" s="409"/>
      <c r="O31" s="371"/>
      <c r="P31" s="74"/>
      <c r="Q31" s="74"/>
      <c r="R31" s="74"/>
      <c r="S31" s="305"/>
      <c r="U31" s="372" t="s">
        <v>219</v>
      </c>
      <c r="V31" s="373"/>
      <c r="W31" s="374"/>
      <c r="X31" s="76">
        <f>X25-X30</f>
        <v>3067207</v>
      </c>
    </row>
    <row r="32" spans="1:28" ht="13.5" x14ac:dyDescent="0.25">
      <c r="C32" s="117">
        <f>MIN('Canary II Enunciado'!BG32:BH43)</f>
        <v>15325</v>
      </c>
      <c r="D32" s="94">
        <f>VLOOKUP(C32,'Canary II Enunciado'!BG32:BI43,3,FALSE)</f>
        <v>119702.49906353699</v>
      </c>
      <c r="L32" s="410" t="s">
        <v>152</v>
      </c>
      <c r="M32" s="411"/>
      <c r="N32" s="412"/>
      <c r="O32" s="81">
        <f>O22+O13</f>
        <v>2632917.4285798594</v>
      </c>
      <c r="P32" s="81">
        <f>P22+P13</f>
        <v>1185371.7914556111</v>
      </c>
      <c r="Q32" s="81">
        <f>Q22+Q13</f>
        <v>1309060.8121242484</v>
      </c>
      <c r="R32" s="81">
        <f>R22+R13</f>
        <v>2184.8249999999998</v>
      </c>
      <c r="S32" s="81">
        <f>S22+S13</f>
        <v>136300</v>
      </c>
    </row>
    <row r="33" spans="2:20" x14ac:dyDescent="0.2">
      <c r="C33" s="414" t="s">
        <v>200</v>
      </c>
      <c r="D33" s="414"/>
    </row>
    <row r="34" spans="2:20" ht="12.75" customHeight="1" x14ac:dyDescent="0.2">
      <c r="C34" s="117">
        <f>MAX('Canary II Enunciado'!BG32:BH43)</f>
        <v>35000</v>
      </c>
      <c r="D34" s="94">
        <f>VLOOKUP(C34,'Canary II Enunciado'!BG32:BI43,3,FALSE)</f>
        <v>157500</v>
      </c>
      <c r="L34" s="35"/>
    </row>
    <row r="35" spans="2:20" ht="12.75" customHeight="1" x14ac:dyDescent="0.2">
      <c r="B35" s="178" t="s">
        <v>203</v>
      </c>
      <c r="C35" s="178"/>
      <c r="D35" s="178"/>
      <c r="E35" s="121"/>
      <c r="M35" s="6"/>
      <c r="P35" s="82"/>
    </row>
    <row r="36" spans="2:20" ht="12.75" customHeight="1" x14ac:dyDescent="0.2">
      <c r="B36" s="178"/>
      <c r="C36" s="178"/>
      <c r="D36" s="178"/>
      <c r="E36" s="121"/>
      <c r="M36" s="6"/>
      <c r="P36" s="83"/>
    </row>
    <row r="37" spans="2:20" x14ac:dyDescent="0.2">
      <c r="B37" s="178"/>
      <c r="C37" s="178"/>
      <c r="D37" s="178"/>
      <c r="E37" s="121"/>
    </row>
    <row r="38" spans="2:20" x14ac:dyDescent="0.2">
      <c r="B38" s="318" t="s">
        <v>204</v>
      </c>
      <c r="C38" s="318"/>
      <c r="D38" s="423">
        <f>D34-D32</f>
        <v>37797.50093646301</v>
      </c>
    </row>
    <row r="39" spans="2:20" x14ac:dyDescent="0.2">
      <c r="B39" s="318"/>
      <c r="C39" s="318"/>
      <c r="D39" s="423"/>
    </row>
    <row r="40" spans="2:20" x14ac:dyDescent="0.2">
      <c r="B40" s="318" t="s">
        <v>205</v>
      </c>
      <c r="C40" s="318"/>
      <c r="D40" s="424">
        <f>C34-C32</f>
        <v>19675</v>
      </c>
    </row>
    <row r="41" spans="2:20" x14ac:dyDescent="0.2">
      <c r="B41" s="318"/>
      <c r="C41" s="318"/>
      <c r="D41" s="424"/>
      <c r="P41" s="230"/>
      <c r="Q41" s="230"/>
      <c r="R41" s="230"/>
      <c r="S41" s="230"/>
      <c r="T41" s="230"/>
    </row>
    <row r="42" spans="2:20" x14ac:dyDescent="0.2">
      <c r="B42" s="119" t="s">
        <v>202</v>
      </c>
      <c r="D42" s="122">
        <f>D38/D40</f>
        <v>1.9210928049028213</v>
      </c>
      <c r="F42" s="94"/>
      <c r="P42" s="318"/>
      <c r="Q42" s="318"/>
      <c r="R42" s="318"/>
    </row>
    <row r="43" spans="2:20" x14ac:dyDescent="0.2">
      <c r="B43" s="229" t="s">
        <v>206</v>
      </c>
      <c r="C43" s="229"/>
      <c r="D43" s="96">
        <f>D42*C30</f>
        <v>605144.23354438867</v>
      </c>
      <c r="P43" s="318"/>
      <c r="Q43" s="318"/>
      <c r="R43" s="318"/>
    </row>
    <row r="44" spans="2:20" ht="13.5" thickBot="1" x14ac:dyDescent="0.25">
      <c r="B44" s="229" t="s">
        <v>208</v>
      </c>
      <c r="C44" s="229"/>
      <c r="D44" s="125">
        <f>F7-D43</f>
        <v>1148229.7664556112</v>
      </c>
      <c r="N44" s="223"/>
      <c r="O44" s="403"/>
      <c r="P44" s="84"/>
      <c r="Q44" s="84"/>
      <c r="R44" s="84"/>
    </row>
    <row r="45" spans="2:20" ht="13.5" thickTop="1" x14ac:dyDescent="0.2">
      <c r="C45" s="124" t="s">
        <v>3</v>
      </c>
      <c r="D45" s="94">
        <f>D43+D44</f>
        <v>1753374</v>
      </c>
      <c r="N45" s="223"/>
      <c r="O45" s="403"/>
      <c r="P45" s="85"/>
      <c r="Q45" s="85"/>
      <c r="R45" s="85"/>
    </row>
    <row r="47" spans="2:20" x14ac:dyDescent="0.2">
      <c r="B47" s="90" t="str">
        <f>E11</f>
        <v>(8c)</v>
      </c>
      <c r="C47" s="430" t="s">
        <v>201</v>
      </c>
      <c r="D47" s="430"/>
      <c r="E47" s="90"/>
    </row>
    <row r="48" spans="2:20" x14ac:dyDescent="0.2">
      <c r="B48" s="120" t="s">
        <v>207</v>
      </c>
      <c r="C48" s="120"/>
      <c r="D48" s="120"/>
    </row>
    <row r="49" spans="2:4" x14ac:dyDescent="0.2">
      <c r="C49" s="130">
        <f>'Canary II Enunciado'!BG66</f>
        <v>948725</v>
      </c>
      <c r="D49" s="96">
        <f>'Canary II Enunciado'!BI66</f>
        <v>1092172</v>
      </c>
    </row>
    <row r="50" spans="2:4" x14ac:dyDescent="0.2">
      <c r="C50" s="414" t="s">
        <v>199</v>
      </c>
      <c r="D50" s="414"/>
    </row>
    <row r="51" spans="2:4" x14ac:dyDescent="0.2">
      <c r="C51" s="130">
        <f>MIN('Canary II Enunciado'!BG54:BH65)</f>
        <v>47250</v>
      </c>
      <c r="D51" s="96">
        <f>VLOOKUP(C51,'Canary II Enunciado'!BG54:BI65,3,FALSE)</f>
        <v>74562.325730118304</v>
      </c>
    </row>
    <row r="52" spans="2:4" x14ac:dyDescent="0.2">
      <c r="C52" s="414" t="s">
        <v>200</v>
      </c>
      <c r="D52" s="414"/>
    </row>
    <row r="53" spans="2:4" x14ac:dyDescent="0.2">
      <c r="C53" s="130">
        <f>MAX('Canary II Enunciado'!BG54:BH65)</f>
        <v>118125</v>
      </c>
      <c r="D53" s="96">
        <f>VLOOKUP(C53,'Canary II Enunciado'!BG54:BI65,3,FALSE)</f>
        <v>96704.756877770255</v>
      </c>
    </row>
    <row r="54" spans="2:4" x14ac:dyDescent="0.2">
      <c r="B54" s="178" t="s">
        <v>203</v>
      </c>
      <c r="C54" s="178"/>
      <c r="D54" s="178"/>
    </row>
    <row r="55" spans="2:4" x14ac:dyDescent="0.2">
      <c r="B55" s="178"/>
      <c r="C55" s="178"/>
      <c r="D55" s="178"/>
    </row>
    <row r="56" spans="2:4" x14ac:dyDescent="0.2">
      <c r="B56" s="178"/>
      <c r="C56" s="178"/>
      <c r="D56" s="178"/>
    </row>
    <row r="57" spans="2:4" x14ac:dyDescent="0.2">
      <c r="B57" s="318" t="s">
        <v>204</v>
      </c>
      <c r="C57" s="318"/>
      <c r="D57" s="423">
        <f>D53-D51</f>
        <v>22142.431147651951</v>
      </c>
    </row>
    <row r="58" spans="2:4" x14ac:dyDescent="0.2">
      <c r="B58" s="318"/>
      <c r="C58" s="318"/>
      <c r="D58" s="423"/>
    </row>
    <row r="59" spans="2:4" x14ac:dyDescent="0.2">
      <c r="B59" s="318" t="s">
        <v>205</v>
      </c>
      <c r="C59" s="318"/>
      <c r="D59" s="177">
        <f>C53-C51</f>
        <v>70875</v>
      </c>
    </row>
    <row r="60" spans="2:4" x14ac:dyDescent="0.2">
      <c r="B60" s="318"/>
      <c r="C60" s="318"/>
      <c r="D60" s="177"/>
    </row>
    <row r="61" spans="2:4" x14ac:dyDescent="0.2">
      <c r="B61" s="119" t="s">
        <v>202</v>
      </c>
      <c r="D61" s="134">
        <f>D57/D59</f>
        <v>0.31241525428785821</v>
      </c>
    </row>
    <row r="62" spans="2:4" x14ac:dyDescent="0.2">
      <c r="B62" s="229" t="s">
        <v>206</v>
      </c>
      <c r="C62" s="229"/>
      <c r="D62" s="50">
        <f>D61*C49</f>
        <v>296396.16212424828</v>
      </c>
    </row>
    <row r="63" spans="2:4" ht="13.5" thickBot="1" x14ac:dyDescent="0.25">
      <c r="B63" s="229" t="s">
        <v>208</v>
      </c>
      <c r="C63" s="229"/>
      <c r="D63" s="125">
        <f>D49-D62</f>
        <v>795775.83787575178</v>
      </c>
    </row>
    <row r="64" spans="2:4" ht="13.5" thickTop="1" x14ac:dyDescent="0.2">
      <c r="C64" s="124" t="s">
        <v>3</v>
      </c>
      <c r="D64" s="94">
        <f>SUM(D62:D63)</f>
        <v>1092172</v>
      </c>
    </row>
  </sheetData>
  <mergeCells count="146">
    <mergeCell ref="A7:A22"/>
    <mergeCell ref="G11:G12"/>
    <mergeCell ref="H11:H12"/>
    <mergeCell ref="P42:P43"/>
    <mergeCell ref="C47:D47"/>
    <mergeCell ref="C50:D50"/>
    <mergeCell ref="G7:G8"/>
    <mergeCell ref="H7:H8"/>
    <mergeCell ref="C9:C10"/>
    <mergeCell ref="D9:D10"/>
    <mergeCell ref="E9:E10"/>
    <mergeCell ref="F9:F10"/>
    <mergeCell ref="C11:C12"/>
    <mergeCell ref="D11:D12"/>
    <mergeCell ref="E11:E12"/>
    <mergeCell ref="F11:F12"/>
    <mergeCell ref="C31:D31"/>
    <mergeCell ref="C33:D33"/>
    <mergeCell ref="C28:D28"/>
    <mergeCell ref="F20:F22"/>
    <mergeCell ref="G20:G22"/>
    <mergeCell ref="D18:D19"/>
    <mergeCell ref="E18:E19"/>
    <mergeCell ref="F18:F19"/>
    <mergeCell ref="B62:C62"/>
    <mergeCell ref="B63:C63"/>
    <mergeCell ref="D57:D58"/>
    <mergeCell ref="D59:D60"/>
    <mergeCell ref="B35:D37"/>
    <mergeCell ref="B44:C44"/>
    <mergeCell ref="B38:C39"/>
    <mergeCell ref="B40:C41"/>
    <mergeCell ref="D38:D39"/>
    <mergeCell ref="D40:D41"/>
    <mergeCell ref="B43:C43"/>
    <mergeCell ref="G18:G19"/>
    <mergeCell ref="H18:H19"/>
    <mergeCell ref="C52:D52"/>
    <mergeCell ref="B54:D56"/>
    <mergeCell ref="B57:C58"/>
    <mergeCell ref="B59:C60"/>
    <mergeCell ref="C13:C14"/>
    <mergeCell ref="D13:D14"/>
    <mergeCell ref="E13:E14"/>
    <mergeCell ref="F13:F14"/>
    <mergeCell ref="G13:G14"/>
    <mergeCell ref="H13:H14"/>
    <mergeCell ref="B7:B14"/>
    <mergeCell ref="F7:F8"/>
    <mergeCell ref="E5:E6"/>
    <mergeCell ref="C7:C8"/>
    <mergeCell ref="D7:D8"/>
    <mergeCell ref="E7:E8"/>
    <mergeCell ref="P41:T41"/>
    <mergeCell ref="N44:N45"/>
    <mergeCell ref="O44:O45"/>
    <mergeCell ref="L30:L31"/>
    <mergeCell ref="M30:M31"/>
    <mergeCell ref="N30:N31"/>
    <mergeCell ref="O30:O31"/>
    <mergeCell ref="Q42:Q43"/>
    <mergeCell ref="S30:S31"/>
    <mergeCell ref="L32:N32"/>
    <mergeCell ref="R42:R43"/>
    <mergeCell ref="L24:L25"/>
    <mergeCell ref="M24:M25"/>
    <mergeCell ref="N24:N25"/>
    <mergeCell ref="O24:O25"/>
    <mergeCell ref="L26:L27"/>
    <mergeCell ref="M26:M27"/>
    <mergeCell ref="L28:L29"/>
    <mergeCell ref="M28:M29"/>
    <mergeCell ref="N28:N29"/>
    <mergeCell ref="U31:W31"/>
    <mergeCell ref="B15:B22"/>
    <mergeCell ref="C15:C17"/>
    <mergeCell ref="D15:D17"/>
    <mergeCell ref="E15:E17"/>
    <mergeCell ref="C20:C22"/>
    <mergeCell ref="D20:D22"/>
    <mergeCell ref="E20:E22"/>
    <mergeCell ref="P22:P23"/>
    <mergeCell ref="Q22:Q23"/>
    <mergeCell ref="R22:R23"/>
    <mergeCell ref="S22:S23"/>
    <mergeCell ref="L16:M17"/>
    <mergeCell ref="O16:O17"/>
    <mergeCell ref="Q16:Q17"/>
    <mergeCell ref="H20:H22"/>
    <mergeCell ref="F15:F17"/>
    <mergeCell ref="G15:G17"/>
    <mergeCell ref="H15:H17"/>
    <mergeCell ref="C18:C19"/>
    <mergeCell ref="U27:W27"/>
    <mergeCell ref="U28:W28"/>
    <mergeCell ref="U29:W29"/>
    <mergeCell ref="U30:W30"/>
    <mergeCell ref="O28:O29"/>
    <mergeCell ref="Q28:Q29"/>
    <mergeCell ref="L20:M21"/>
    <mergeCell ref="O20:O21"/>
    <mergeCell ref="S20:S21"/>
    <mergeCell ref="L22:N23"/>
    <mergeCell ref="O22:O23"/>
    <mergeCell ref="L18:M19"/>
    <mergeCell ref="O18:O19"/>
    <mergeCell ref="Q18:Q19"/>
    <mergeCell ref="N18:N19"/>
    <mergeCell ref="N20:N21"/>
    <mergeCell ref="N16:N17"/>
    <mergeCell ref="U16:W16"/>
    <mergeCell ref="U17:W17"/>
    <mergeCell ref="U18:W18"/>
    <mergeCell ref="U20:W20"/>
    <mergeCell ref="U21:W22"/>
    <mergeCell ref="U23:W23"/>
    <mergeCell ref="U24:W24"/>
    <mergeCell ref="P24:P25"/>
    <mergeCell ref="U25:W25"/>
    <mergeCell ref="L14:M15"/>
    <mergeCell ref="O14:O15"/>
    <mergeCell ref="Q14:Q15"/>
    <mergeCell ref="U14:W14"/>
    <mergeCell ref="U15:W15"/>
    <mergeCell ref="Z8:Z10"/>
    <mergeCell ref="AA8:AA10"/>
    <mergeCell ref="L11:N12"/>
    <mergeCell ref="U11:W12"/>
    <mergeCell ref="L13:N13"/>
    <mergeCell ref="U13:W13"/>
    <mergeCell ref="N14:N15"/>
    <mergeCell ref="Z11:Z12"/>
    <mergeCell ref="Q11:Q12"/>
    <mergeCell ref="AB8:AB10"/>
    <mergeCell ref="L5:S5"/>
    <mergeCell ref="U6:AB6"/>
    <mergeCell ref="L6:S6"/>
    <mergeCell ref="U7:AB7"/>
    <mergeCell ref="N8:N10"/>
    <mergeCell ref="O8:O10"/>
    <mergeCell ref="P8:P10"/>
    <mergeCell ref="Q8:Q10"/>
    <mergeCell ref="R8:R10"/>
    <mergeCell ref="S8:S10"/>
    <mergeCell ref="X8:X10"/>
    <mergeCell ref="Y8:Y10"/>
  </mergeCells>
  <pageMargins left="0.7" right="0.7" top="0.75" bottom="0.75" header="0.3" footer="0.3"/>
  <pageSetup paperSize="9" orientation="portrait" r:id="rId1"/>
  <ignoredErrors>
    <ignoredError sqref="X15 Z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Canary II Enunciado</vt:lpstr>
      <vt:lpstr>Canary II Solucion</vt:lpstr>
    </vt:vector>
  </TitlesOfParts>
  <Company>el mismo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jigg</dc:creator>
  <cp:lastModifiedBy>jggomez</cp:lastModifiedBy>
  <cp:lastPrinted>2010-04-11T15:06:18Z</cp:lastPrinted>
  <dcterms:created xsi:type="dcterms:W3CDTF">1999-03-21T19:22:41Z</dcterms:created>
  <dcterms:modified xsi:type="dcterms:W3CDTF">2014-11-25T05:48:42Z</dcterms:modified>
</cp:coreProperties>
</file>